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uzan\Documents\Commercial Buildings OSU LCC\Cabelas Springfield Utility Bills\"/>
    </mc:Choice>
  </mc:AlternateContent>
  <xr:revisionPtr revIDLastSave="0" documentId="13_ncr:1_{E27AAA8C-EA63-427A-9A5D-42CC5E74D9B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s" sheetId="1" r:id="rId1"/>
    <sheet name="Electric_Data" sheetId="2" r:id="rId2"/>
    <sheet name="Gas_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B34" i="3"/>
  <c r="B32" i="3"/>
  <c r="B31" i="3"/>
  <c r="B30" i="3"/>
  <c r="B29" i="3"/>
  <c r="B28" i="3"/>
  <c r="B27" i="3"/>
  <c r="B25" i="3"/>
  <c r="B24" i="3"/>
  <c r="B23" i="3"/>
  <c r="P17" i="3"/>
  <c r="O17" i="3"/>
  <c r="N17" i="3"/>
  <c r="K17" i="3"/>
  <c r="J17" i="3"/>
  <c r="I17" i="3"/>
  <c r="F17" i="3"/>
  <c r="C34" i="3" s="1"/>
  <c r="M16" i="1" s="1"/>
  <c r="E17" i="3"/>
  <c r="D17" i="3"/>
  <c r="O16" i="3"/>
  <c r="N16" i="3"/>
  <c r="M16" i="3"/>
  <c r="P16" i="3" s="1"/>
  <c r="L16" i="3"/>
  <c r="K16" i="3"/>
  <c r="J16" i="3"/>
  <c r="I16" i="3"/>
  <c r="H16" i="3"/>
  <c r="G16" i="3"/>
  <c r="F16" i="3"/>
  <c r="E16" i="3"/>
  <c r="C16" i="3"/>
  <c r="D16" i="3" s="1"/>
  <c r="B16" i="3"/>
  <c r="B33" i="3" s="1"/>
  <c r="E15" i="1" s="1"/>
  <c r="I15" i="1" s="1"/>
  <c r="P15" i="3"/>
  <c r="O15" i="3"/>
  <c r="N15" i="3"/>
  <c r="K15" i="3"/>
  <c r="J15" i="3"/>
  <c r="I15" i="3"/>
  <c r="F15" i="3"/>
  <c r="C32" i="3" s="1"/>
  <c r="M14" i="1" s="1"/>
  <c r="E15" i="3"/>
  <c r="D15" i="3"/>
  <c r="O14" i="3"/>
  <c r="P14" i="3" s="1"/>
  <c r="N14" i="3"/>
  <c r="K14" i="3"/>
  <c r="J14" i="3"/>
  <c r="I14" i="3"/>
  <c r="F14" i="3"/>
  <c r="C31" i="3" s="1"/>
  <c r="M13" i="1" s="1"/>
  <c r="D14" i="3"/>
  <c r="O13" i="3"/>
  <c r="P13" i="3" s="1"/>
  <c r="N13" i="3"/>
  <c r="K13" i="3"/>
  <c r="J13" i="3"/>
  <c r="I13" i="3"/>
  <c r="E13" i="3"/>
  <c r="F13" i="3" s="1"/>
  <c r="C30" i="3" s="1"/>
  <c r="M12" i="1" s="1"/>
  <c r="D13" i="3"/>
  <c r="O12" i="3"/>
  <c r="P12" i="3" s="1"/>
  <c r="N12" i="3"/>
  <c r="J12" i="3"/>
  <c r="K12" i="3" s="1"/>
  <c r="I12" i="3"/>
  <c r="E12" i="3"/>
  <c r="F12" i="3" s="1"/>
  <c r="D12" i="3"/>
  <c r="O11" i="3"/>
  <c r="P11" i="3" s="1"/>
  <c r="N11" i="3"/>
  <c r="K11" i="3"/>
  <c r="J11" i="3"/>
  <c r="I11" i="3"/>
  <c r="F11" i="3"/>
  <c r="E11" i="3"/>
  <c r="D11" i="3"/>
  <c r="P10" i="3"/>
  <c r="O10" i="3"/>
  <c r="N10" i="3"/>
  <c r="J10" i="3"/>
  <c r="K10" i="3" s="1"/>
  <c r="I10" i="3"/>
  <c r="E10" i="3"/>
  <c r="F10" i="3" s="1"/>
  <c r="C27" i="3" s="1"/>
  <c r="M9" i="1" s="1"/>
  <c r="D10" i="3"/>
  <c r="O9" i="3"/>
  <c r="P9" i="3" s="1"/>
  <c r="N9" i="3"/>
  <c r="J9" i="3"/>
  <c r="K9" i="3" s="1"/>
  <c r="I9" i="3"/>
  <c r="E9" i="3"/>
  <c r="C9" i="3"/>
  <c r="F9" i="3" s="1"/>
  <c r="B9" i="3"/>
  <c r="B26" i="3" s="1"/>
  <c r="E8" i="1" s="1"/>
  <c r="I8" i="1" s="1"/>
  <c r="O8" i="3"/>
  <c r="P8" i="3" s="1"/>
  <c r="N8" i="3"/>
  <c r="J8" i="3"/>
  <c r="K8" i="3" s="1"/>
  <c r="I8" i="3"/>
  <c r="F8" i="3"/>
  <c r="C25" i="3" s="1"/>
  <c r="M7" i="1" s="1"/>
  <c r="E8" i="3"/>
  <c r="D8" i="3"/>
  <c r="P7" i="3"/>
  <c r="O7" i="3"/>
  <c r="N7" i="3"/>
  <c r="K7" i="3"/>
  <c r="J7" i="3"/>
  <c r="I7" i="3"/>
  <c r="E7" i="3"/>
  <c r="F7" i="3" s="1"/>
  <c r="C24" i="3" s="1"/>
  <c r="M6" i="1" s="1"/>
  <c r="D7" i="3"/>
  <c r="O6" i="3"/>
  <c r="P6" i="3" s="1"/>
  <c r="N6" i="3"/>
  <c r="J6" i="3"/>
  <c r="K6" i="3" s="1"/>
  <c r="I6" i="3"/>
  <c r="E6" i="3"/>
  <c r="F6" i="3" s="1"/>
  <c r="D6" i="3"/>
  <c r="C32" i="2"/>
  <c r="B32" i="2"/>
  <c r="C31" i="2"/>
  <c r="B31" i="2"/>
  <c r="C30" i="2"/>
  <c r="B30" i="2"/>
  <c r="C29" i="2"/>
  <c r="B29" i="2"/>
  <c r="C28" i="2"/>
  <c r="D12" i="1" s="1"/>
  <c r="B28" i="2"/>
  <c r="C12" i="1" s="1"/>
  <c r="H12" i="1" s="1"/>
  <c r="C27" i="2"/>
  <c r="B27" i="2"/>
  <c r="C11" i="1" s="1"/>
  <c r="H11" i="1" s="1"/>
  <c r="C26" i="2"/>
  <c r="B26" i="2"/>
  <c r="C25" i="2"/>
  <c r="B25" i="2"/>
  <c r="C24" i="2"/>
  <c r="B24" i="2"/>
  <c r="C23" i="2"/>
  <c r="B23" i="2"/>
  <c r="D22" i="2"/>
  <c r="C22" i="2"/>
  <c r="B22" i="2"/>
  <c r="C21" i="2"/>
  <c r="B21" i="2"/>
  <c r="V16" i="2"/>
  <c r="R16" i="2"/>
  <c r="O16" i="2"/>
  <c r="K16" i="2"/>
  <c r="H16" i="2"/>
  <c r="D32" i="2" s="1"/>
  <c r="L16" i="1" s="1"/>
  <c r="D16" i="2"/>
  <c r="V15" i="2"/>
  <c r="R15" i="2"/>
  <c r="O15" i="2"/>
  <c r="K15" i="2"/>
  <c r="H15" i="2"/>
  <c r="D31" i="2" s="1"/>
  <c r="L15" i="1" s="1"/>
  <c r="D15" i="2"/>
  <c r="U14" i="2"/>
  <c r="V14" i="2" s="1"/>
  <c r="R14" i="2"/>
  <c r="O14" i="2"/>
  <c r="N14" i="2"/>
  <c r="K14" i="2"/>
  <c r="H14" i="2"/>
  <c r="D30" i="2" s="1"/>
  <c r="L14" i="1" s="1"/>
  <c r="G14" i="2"/>
  <c r="D14" i="2"/>
  <c r="V13" i="2"/>
  <c r="U13" i="2"/>
  <c r="R13" i="2"/>
  <c r="O13" i="2"/>
  <c r="N13" i="2"/>
  <c r="K13" i="2"/>
  <c r="G13" i="2"/>
  <c r="H13" i="2" s="1"/>
  <c r="D29" i="2" s="1"/>
  <c r="L13" i="1" s="1"/>
  <c r="D13" i="2"/>
  <c r="U12" i="2"/>
  <c r="V12" i="2" s="1"/>
  <c r="R12" i="2"/>
  <c r="O12" i="2"/>
  <c r="K12" i="2"/>
  <c r="G12" i="2"/>
  <c r="H12" i="2" s="1"/>
  <c r="D12" i="2"/>
  <c r="V11" i="2"/>
  <c r="R11" i="2"/>
  <c r="O11" i="2"/>
  <c r="K11" i="2"/>
  <c r="H11" i="2"/>
  <c r="D27" i="2" s="1"/>
  <c r="L11" i="1" s="1"/>
  <c r="G11" i="2"/>
  <c r="D11" i="2"/>
  <c r="V10" i="2"/>
  <c r="U10" i="2"/>
  <c r="R10" i="2"/>
  <c r="O10" i="2"/>
  <c r="N10" i="2"/>
  <c r="K10" i="2"/>
  <c r="G10" i="2"/>
  <c r="H10" i="2" s="1"/>
  <c r="D26" i="2" s="1"/>
  <c r="L10" i="1" s="1"/>
  <c r="D10" i="2"/>
  <c r="U9" i="2"/>
  <c r="V9" i="2" s="1"/>
  <c r="R9" i="2"/>
  <c r="O9" i="2"/>
  <c r="K9" i="2"/>
  <c r="G9" i="2"/>
  <c r="H9" i="2" s="1"/>
  <c r="D9" i="2"/>
  <c r="U8" i="2"/>
  <c r="V8" i="2" s="1"/>
  <c r="R8" i="2"/>
  <c r="O8" i="2"/>
  <c r="K8" i="2"/>
  <c r="G8" i="2"/>
  <c r="H8" i="2" s="1"/>
  <c r="D8" i="2"/>
  <c r="V7" i="2"/>
  <c r="R7" i="2"/>
  <c r="O7" i="2"/>
  <c r="K7" i="2"/>
  <c r="H7" i="2"/>
  <c r="D23" i="2" s="1"/>
  <c r="L7" i="1" s="1"/>
  <c r="G7" i="2"/>
  <c r="D7" i="2"/>
  <c r="V6" i="2"/>
  <c r="R6" i="2"/>
  <c r="O6" i="2"/>
  <c r="K6" i="2"/>
  <c r="H6" i="2"/>
  <c r="D6" i="2"/>
  <c r="V5" i="2"/>
  <c r="R5" i="2"/>
  <c r="O5" i="2"/>
  <c r="K5" i="2"/>
  <c r="H5" i="2"/>
  <c r="D21" i="2" s="1"/>
  <c r="L5" i="1" s="1"/>
  <c r="D5" i="2"/>
  <c r="E16" i="1"/>
  <c r="I16" i="1" s="1"/>
  <c r="D16" i="1"/>
  <c r="C16" i="1"/>
  <c r="H16" i="1" s="1"/>
  <c r="D15" i="1"/>
  <c r="C15" i="1"/>
  <c r="H15" i="1" s="1"/>
  <c r="I14" i="1"/>
  <c r="E14" i="1"/>
  <c r="D14" i="1"/>
  <c r="C14" i="1"/>
  <c r="H14" i="1" s="1"/>
  <c r="I13" i="1"/>
  <c r="E13" i="1"/>
  <c r="D13" i="1"/>
  <c r="C13" i="1"/>
  <c r="H13" i="1" s="1"/>
  <c r="I12" i="1"/>
  <c r="E12" i="1"/>
  <c r="E11" i="1"/>
  <c r="I11" i="1" s="1"/>
  <c r="D11" i="1"/>
  <c r="H10" i="1"/>
  <c r="E10" i="1"/>
  <c r="I10" i="1" s="1"/>
  <c r="D10" i="1"/>
  <c r="C10" i="1"/>
  <c r="E9" i="1"/>
  <c r="I9" i="1" s="1"/>
  <c r="D9" i="1"/>
  <c r="C9" i="1"/>
  <c r="H9" i="1" s="1"/>
  <c r="D8" i="1"/>
  <c r="C8" i="1"/>
  <c r="H8" i="1" s="1"/>
  <c r="E7" i="1"/>
  <c r="I7" i="1" s="1"/>
  <c r="D7" i="1"/>
  <c r="C7" i="1"/>
  <c r="H7" i="1" s="1"/>
  <c r="L6" i="1"/>
  <c r="I6" i="1"/>
  <c r="E6" i="1"/>
  <c r="D6" i="1"/>
  <c r="C6" i="1"/>
  <c r="H6" i="1" s="1"/>
  <c r="I5" i="1"/>
  <c r="H5" i="1"/>
  <c r="E5" i="1"/>
  <c r="D5" i="1"/>
  <c r="D25" i="2" l="1"/>
  <c r="L9" i="1" s="1"/>
  <c r="C23" i="3"/>
  <c r="M5" i="1" s="1"/>
  <c r="H18" i="1"/>
  <c r="H20" i="1" s="1"/>
  <c r="D24" i="2"/>
  <c r="L8" i="1" s="1"/>
  <c r="C33" i="3"/>
  <c r="M15" i="1" s="1"/>
  <c r="C29" i="3"/>
  <c r="M11" i="1" s="1"/>
  <c r="C28" i="3"/>
  <c r="M10" i="1" s="1"/>
  <c r="L18" i="1" s="1"/>
  <c r="L20" i="1" s="1"/>
  <c r="D28" i="2"/>
  <c r="L12" i="1" s="1"/>
  <c r="C26" i="3"/>
  <c r="M8" i="1" s="1"/>
  <c r="D9" i="3"/>
</calcChain>
</file>

<file path=xl/sharedStrings.xml><?xml version="1.0" encoding="utf-8"?>
<sst xmlns="http://schemas.openxmlformats.org/spreadsheetml/2006/main" count="152" uniqueCount="38">
  <si>
    <t>The tables on this sheet corresponds to the 3-year-average of energy usage for each month.</t>
  </si>
  <si>
    <t>Electricity</t>
  </si>
  <si>
    <t>Natural Gas</t>
  </si>
  <si>
    <t>kWh</t>
  </si>
  <si>
    <t>kW</t>
  </si>
  <si>
    <t>Therms</t>
  </si>
  <si>
    <t>kBtu</t>
  </si>
  <si>
    <t>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</si>
  <si>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</si>
  <si>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</si>
  <si>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</si>
  <si>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</si>
  <si>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</si>
  <si>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</si>
  <si>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</si>
  <si>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</si>
  <si>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</si>
  <si>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</si>
  <si>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</si>
  <si>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</si>
  <si>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kBtu</t>
  </si>
  <si>
    <t>Total Cost</t>
  </si>
  <si>
    <t>SF</t>
  </si>
  <si>
    <t>EUI</t>
  </si>
  <si>
    <t>ECI</t>
  </si>
  <si>
    <t>Median EUI</t>
  </si>
  <si>
    <t>Median ECI</t>
  </si>
  <si>
    <t>?</t>
  </si>
  <si>
    <t>UTILITY:</t>
  </si>
  <si>
    <t>Springfield Utility Board</t>
  </si>
  <si>
    <t>kWh Charge</t>
  </si>
  <si>
    <t>Charge / kWh</t>
  </si>
  <si>
    <t>kW Charge</t>
  </si>
  <si>
    <t>Other Charges</t>
  </si>
  <si>
    <t>Total</t>
  </si>
  <si>
    <t>AVERAGE</t>
  </si>
  <si>
    <t>Northwest Natural Gas</t>
  </si>
  <si>
    <t>Cost / Therm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</si>
</sst>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&quot;$&quot;#,##0.000"/>
    <numFmt numFmtId="167" formatCode="#,##0.0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1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/>
    <xf numFmtId="165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/>
    <xf numFmtId="1" fontId="2" fillId="0" borderId="7" xfId="0" applyNumberFormat="1" applyFont="1" applyBorder="1"/>
    <xf numFmtId="165" fontId="2" fillId="0" borderId="7" xfId="0" applyNumberFormat="1" applyFont="1" applyBorder="1"/>
    <xf numFmtId="10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65" fontId="2" fillId="6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1" fillId="2" borderId="0" xfId="0" applyFont="1" applyFill="1" applyAlignment="1"/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kWh Usage by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Electric_Data!$B$5:$B$16</c:f>
              <c:numCache>
                <c:formatCode>#,##0</c:formatCode>
                <c:ptCount val="12"/>
                <c:pt idx="0">
                  <c:v>92640</c:v>
                </c:pt>
                <c:pt idx="1">
                  <c:v>93760</c:v>
                </c:pt>
                <c:pt idx="2">
                  <c:v>85920</c:v>
                </c:pt>
                <c:pt idx="3">
                  <c:v>98240</c:v>
                </c:pt>
                <c:pt idx="4">
                  <c:v>93760</c:v>
                </c:pt>
                <c:pt idx="5">
                  <c:v>104480</c:v>
                </c:pt>
                <c:pt idx="6">
                  <c:v>114880</c:v>
                </c:pt>
                <c:pt idx="7">
                  <c:v>105280</c:v>
                </c:pt>
                <c:pt idx="8">
                  <c:v>106720</c:v>
                </c:pt>
                <c:pt idx="9">
                  <c:v>94880</c:v>
                </c:pt>
                <c:pt idx="10">
                  <c:v>100800</c:v>
                </c:pt>
                <c:pt idx="11">
                  <c:v>88480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7DA-478E-8524-15080B82F105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Electric_Data!$I$5:$I$16</c:f>
              <c:numCache>
                <c:formatCode>#,##0</c:formatCode>
                <c:ptCount val="12"/>
                <c:pt idx="0">
                  <c:v>94080</c:v>
                </c:pt>
                <c:pt idx="1">
                  <c:v>97760</c:v>
                </c:pt>
                <c:pt idx="2">
                  <c:v>85920</c:v>
                </c:pt>
                <c:pt idx="3">
                  <c:v>84320</c:v>
                </c:pt>
                <c:pt idx="4">
                  <c:v>64320</c:v>
                </c:pt>
                <c:pt idx="5">
                  <c:v>75040</c:v>
                </c:pt>
                <c:pt idx="6">
                  <c:v>103200</c:v>
                </c:pt>
                <c:pt idx="7">
                  <c:v>100000</c:v>
                </c:pt>
                <c:pt idx="8">
                  <c:v>109600</c:v>
                </c:pt>
                <c:pt idx="9">
                  <c:v>92800</c:v>
                </c:pt>
                <c:pt idx="10">
                  <c:v>82720</c:v>
                </c:pt>
                <c:pt idx="11">
                  <c:v>84160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7DA-478E-8524-15080B82F105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Electric_Data!$P$5:$P$16</c:f>
              <c:numCache>
                <c:formatCode>#,##0</c:formatCode>
                <c:ptCount val="12"/>
                <c:pt idx="0">
                  <c:v>95040</c:v>
                </c:pt>
                <c:pt idx="1">
                  <c:v>83840</c:v>
                </c:pt>
                <c:pt idx="2">
                  <c:v>81280</c:v>
                </c:pt>
                <c:pt idx="3">
                  <c:v>95200</c:v>
                </c:pt>
                <c:pt idx="4">
                  <c:v>89600</c:v>
                </c:pt>
                <c:pt idx="5">
                  <c:v>97920</c:v>
                </c:pt>
                <c:pt idx="6">
                  <c:v>119840</c:v>
                </c:pt>
                <c:pt idx="7">
                  <c:v>111040</c:v>
                </c:pt>
                <c:pt idx="8">
                  <c:v>113600</c:v>
                </c:pt>
                <c:pt idx="9">
                  <c:v>89280</c:v>
                </c:pt>
                <c:pt idx="10">
                  <c:v>88320</c:v>
                </c:pt>
                <c:pt idx="11">
                  <c:v>88640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7DA-478E-8524-15080B82F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581193"/>
        <c:axId val="1293878219"/>
      </c:barChart>
      <c:catAx>
        <c:axId val="1795581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3878219"/>
        <c:crosses val="autoZero"/>
        <c:auto val="1"/>
        <c:lblAlgn val="ctr"/>
        <c:lblOffset val="100"/>
        <c:noMultiLvlLbl val="1"/>
      </c:catAx>
      <c:valAx>
        <c:axId val="12938782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5811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Therms Usage by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Gas_Data!$B$6:$B$17</c:f>
              <c:numCache>
                <c:formatCode>#,##0.0</c:formatCode>
                <c:ptCount val="12"/>
                <c:pt idx="0">
                  <c:v>372.2</c:v>
                </c:pt>
                <c:pt idx="1">
                  <c:v>947.7</c:v>
                </c:pt>
                <c:pt idx="2">
                  <c:v>812.7</c:v>
                </c:pt>
                <c:pt idx="3">
                  <c:v>267.70000000000005</c:v>
                </c:pt>
                <c:pt idx="4">
                  <c:v>35.9</c:v>
                </c:pt>
                <c:pt idx="5">
                  <c:v>7.4</c:v>
                </c:pt>
                <c:pt idx="6">
                  <c:v>3.6</c:v>
                </c:pt>
                <c:pt idx="7">
                  <c:v>0</c:v>
                </c:pt>
                <c:pt idx="8">
                  <c:v>0</c:v>
                </c:pt>
                <c:pt idx="9">
                  <c:v>120</c:v>
                </c:pt>
                <c:pt idx="10">
                  <c:v>382</c:v>
                </c:pt>
                <c:pt idx="11">
                  <c:v>695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AD-4766-9CD3-0715F2335C25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Gas_Data!$G$6:$G$17</c:f>
              <c:numCache>
                <c:formatCode>#,##0.0</c:formatCode>
                <c:ptCount val="12"/>
                <c:pt idx="0">
                  <c:v>281.3</c:v>
                </c:pt>
                <c:pt idx="1">
                  <c:v>470.5</c:v>
                </c:pt>
                <c:pt idx="2">
                  <c:v>364.9</c:v>
                </c:pt>
                <c:pt idx="3">
                  <c:v>39.700000000000003</c:v>
                </c:pt>
                <c:pt idx="4">
                  <c:v>2.2999999999999998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</c:v>
                </c:pt>
                <c:pt idx="9">
                  <c:v>14.3</c:v>
                </c:pt>
                <c:pt idx="10">
                  <c:v>87.2</c:v>
                </c:pt>
                <c:pt idx="11">
                  <c:v>247.1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AD-4766-9CD3-0715F2335C25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Gas_Data!$L$6:$L$17</c:f>
              <c:numCache>
                <c:formatCode>#,##0.0</c:formatCode>
                <c:ptCount val="12"/>
                <c:pt idx="0">
                  <c:v>235</c:v>
                </c:pt>
                <c:pt idx="1">
                  <c:v>221</c:v>
                </c:pt>
                <c:pt idx="2">
                  <c:v>148.4</c:v>
                </c:pt>
                <c:pt idx="3">
                  <c:v>61.3</c:v>
                </c:pt>
                <c:pt idx="4">
                  <c:v>1.2</c:v>
                </c:pt>
                <c:pt idx="5">
                  <c:v>1.2</c:v>
                </c:pt>
                <c:pt idx="6">
                  <c:v>0</c:v>
                </c:pt>
                <c:pt idx="7">
                  <c:v>1.2</c:v>
                </c:pt>
                <c:pt idx="8">
                  <c:v>2.4</c:v>
                </c:pt>
                <c:pt idx="9">
                  <c:v>3.5</c:v>
                </c:pt>
                <c:pt idx="10">
                  <c:v>77.2</c:v>
                </c:pt>
                <c:pt idx="11">
                  <c:v>261.10000000000002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AD-4766-9CD3-0715F233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74180"/>
        <c:axId val="902483949"/>
      </c:barChart>
      <c:catAx>
        <c:axId val="4192741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2483949"/>
        <c:crosses val="autoZero"/>
        <c:auto val="1"/>
        <c:lblAlgn val="ctr"/>
        <c:lblOffset val="100"/>
        <c:noMultiLvlLbl val="1"/>
      </c:catAx>
      <c:valAx>
        <c:axId val="9024839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92741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9525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0</xdr:colOff>
      <xdr:row>26</xdr:row>
      <xdr:rowOff>9525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2"/>
  <sheetViews>
    <sheetView workbookViewId="0">
      <selection activeCell="C5" sqref="C5"/>
    </sheetView>
  </sheetViews>
  <sheetFormatPr defaultColWidth="12.5703125" defaultRowHeight="15.75" customHeight="1" x14ac:dyDescent="0.2"/>
  <sheetData>
    <row r="1" spans="1:13" x14ac:dyDescent="0.2">
      <c r="A1" s="35" t="s">
        <v>0</v>
      </c>
      <c r="B1" s="36"/>
      <c r="C1" s="36"/>
      <c r="D1" s="36"/>
      <c r="E1" s="36"/>
      <c r="F1" s="36"/>
    </row>
    <row r="3" spans="1:13" x14ac:dyDescent="0.2">
      <c r="B3" s="1"/>
      <c r="C3" s="37" t="s">
        <v>1</v>
      </c>
      <c r="D3" s="38"/>
      <c r="E3" s="2" t="s">
        <v>2</v>
      </c>
      <c r="G3" s="1"/>
      <c r="H3" s="2" t="s">
        <v>1</v>
      </c>
      <c r="I3" s="2" t="s">
        <v>2</v>
      </c>
      <c r="J3" s="3"/>
      <c r="K3" s="3"/>
      <c r="L3" s="2" t="s">
        <v>1</v>
      </c>
      <c r="M3" s="2" t="s">
        <v>2</v>
      </c>
    </row>
    <row r="4" spans="1:13" x14ac:dyDescent="0.2">
      <c r="B4" s="1"/>
      <c r="C4" s="2" t="s">
        <v>3</v>
      </c>
      <c r="D4" s="2" t="s">
        <v>4</v>
      </c>
      <c r="E4" s="2" t="s">
        <v>5</v>
      </c>
      <c r="G4" s="1"/>
      <c r="H4" s="37" t="s">
        <v>6</v>
      </c>
      <c r="I4" s="38"/>
      <c r="L4" s="37" t="s">
        <v>7</v>
      </c>
      <c r="M4" s="38"/>
    </row>
    <row r="5" spans="1:13" x14ac:dyDescent="0.2">
      <c r="B5" s="4" t="s">
        <v>8</v>
      </c>
      <c r="C5" s="5">
        <f>Electric_Data!B21</f>
        <v>93920</v>
      </c>
      <c r="D5" s="6">
        <f>Electric_Data!C21</f>
        <v>176.37333333333333</v>
      </c>
      <c r="E5" s="7">
        <f>Gas_Data!B23</f>
        <v>296.16666666666669</v>
      </c>
      <c r="G5" s="4" t="s">
        <v>8</v>
      </c>
      <c r="H5" s="5">
        <f t="shared" ref="H5:H16" si="0">C5*3412.14/1000</f>
        <v>320468.1888</v>
      </c>
      <c r="I5" s="5">
        <f t="shared" ref="I5:I16" si="1">E5*100</f>
        <v>29616.666666666668</v>
      </c>
      <c r="K5" s="4" t="s">
        <v>8</v>
      </c>
      <c r="L5" s="8">
        <f>Electric_Data!D21</f>
        <v>5993.079999999999</v>
      </c>
      <c r="M5" s="8">
        <f>Gas_Data!C23</f>
        <v>867.22</v>
      </c>
    </row>
    <row r="6" spans="1:13" x14ac:dyDescent="0.2">
      <c r="B6" s="4" t="s">
        <v>9</v>
      </c>
      <c r="C6" s="5">
        <f>Electric_Data!B22</f>
        <v>91786.666666666672</v>
      </c>
      <c r="D6" s="6">
        <f>Electric_Data!C22</f>
        <v>169.49333333333331</v>
      </c>
      <c r="E6" s="7">
        <f>Gas_Data!B24</f>
        <v>546.4</v>
      </c>
      <c r="G6" s="4" t="s">
        <v>9</v>
      </c>
      <c r="H6" s="5">
        <f t="shared" si="0"/>
        <v>313188.95679999999</v>
      </c>
      <c r="I6" s="5">
        <f t="shared" si="1"/>
        <v>54640</v>
      </c>
      <c r="K6" s="4" t="s">
        <v>9</v>
      </c>
      <c r="L6" s="8">
        <f>Electric_Data!D22</f>
        <v>5833.9033333333327</v>
      </c>
      <c r="M6" s="8">
        <f>Gas_Data!C24</f>
        <v>1379.42</v>
      </c>
    </row>
    <row r="7" spans="1:13" x14ac:dyDescent="0.2">
      <c r="B7" s="4" t="s">
        <v>10</v>
      </c>
      <c r="C7" s="5">
        <f>Electric_Data!B23</f>
        <v>84373.333333333328</v>
      </c>
      <c r="D7" s="6">
        <f>Electric_Data!C23</f>
        <v>183.20000000000002</v>
      </c>
      <c r="E7" s="7">
        <f>Gas_Data!B25</f>
        <v>442</v>
      </c>
      <c r="G7" s="4" t="s">
        <v>10</v>
      </c>
      <c r="H7" s="5">
        <f t="shared" si="0"/>
        <v>287893.62559999997</v>
      </c>
      <c r="I7" s="5">
        <f t="shared" si="1"/>
        <v>44200</v>
      </c>
      <c r="K7" s="4" t="s">
        <v>10</v>
      </c>
      <c r="L7" s="8">
        <f>Electric_Data!D23</f>
        <v>5555.0533333333333</v>
      </c>
      <c r="M7" s="8">
        <f>Gas_Data!C25</f>
        <v>1092.01</v>
      </c>
    </row>
    <row r="8" spans="1:13" x14ac:dyDescent="0.2">
      <c r="B8" s="4" t="s">
        <v>11</v>
      </c>
      <c r="C8" s="5">
        <f>Electric_Data!B24</f>
        <v>92586.666666666672</v>
      </c>
      <c r="D8" s="6">
        <f>Electric_Data!C24</f>
        <v>195.73333333333335</v>
      </c>
      <c r="E8" s="7">
        <f>Gas_Data!B26</f>
        <v>122.90000000000002</v>
      </c>
      <c r="G8" s="4" t="s">
        <v>11</v>
      </c>
      <c r="H8" s="5">
        <f t="shared" si="0"/>
        <v>315918.66879999998</v>
      </c>
      <c r="I8" s="5">
        <f t="shared" si="1"/>
        <v>12290.000000000002</v>
      </c>
      <c r="K8" s="4" t="s">
        <v>11</v>
      </c>
      <c r="L8" s="8">
        <f>Electric_Data!D24</f>
        <v>6062.6066666666666</v>
      </c>
      <c r="M8" s="8">
        <f>Gas_Data!C26</f>
        <v>397.02000000000004</v>
      </c>
    </row>
    <row r="9" spans="1:13" x14ac:dyDescent="0.2">
      <c r="B9" s="4" t="s">
        <v>12</v>
      </c>
      <c r="C9" s="5">
        <f>Electric_Data!B25</f>
        <v>82560</v>
      </c>
      <c r="D9" s="6">
        <f>Electric_Data!C25</f>
        <v>195.41333333333333</v>
      </c>
      <c r="E9" s="7">
        <f>Gas_Data!B27</f>
        <v>13.133333333333333</v>
      </c>
      <c r="G9" s="4" t="s">
        <v>12</v>
      </c>
      <c r="H9" s="5">
        <f t="shared" si="0"/>
        <v>281706.27839999995</v>
      </c>
      <c r="I9" s="5">
        <f t="shared" si="1"/>
        <v>1313.3333333333333</v>
      </c>
      <c r="K9" s="4" t="s">
        <v>12</v>
      </c>
      <c r="L9" s="8">
        <f>Electric_Data!D25</f>
        <v>4770.4399999999996</v>
      </c>
      <c r="M9" s="8">
        <f>Gas_Data!C27</f>
        <v>80.58</v>
      </c>
    </row>
    <row r="10" spans="1:13" x14ac:dyDescent="0.2">
      <c r="B10" s="4" t="s">
        <v>13</v>
      </c>
      <c r="C10" s="5">
        <f>Electric_Data!B26</f>
        <v>92480</v>
      </c>
      <c r="D10" s="6">
        <f>Electric_Data!C26</f>
        <v>211.46666666666667</v>
      </c>
      <c r="E10" s="7">
        <f>Gas_Data!B28</f>
        <v>2.8666666666666667</v>
      </c>
      <c r="G10" s="4" t="s">
        <v>13</v>
      </c>
      <c r="H10" s="5">
        <f t="shared" si="0"/>
        <v>315554.7072</v>
      </c>
      <c r="I10" s="5">
        <f t="shared" si="1"/>
        <v>286.66666666666669</v>
      </c>
      <c r="K10" s="4" t="s">
        <v>13</v>
      </c>
      <c r="L10" s="8">
        <f>Electric_Data!D26</f>
        <v>5285.89</v>
      </c>
      <c r="M10" s="8">
        <f>Gas_Data!C28</f>
        <v>-78.180000000000007</v>
      </c>
    </row>
    <row r="11" spans="1:13" x14ac:dyDescent="0.2">
      <c r="B11" s="4" t="s">
        <v>14</v>
      </c>
      <c r="C11" s="5">
        <f>Electric_Data!B27</f>
        <v>112640</v>
      </c>
      <c r="D11" s="6">
        <f>Electric_Data!C27</f>
        <v>226.24</v>
      </c>
      <c r="E11" s="7">
        <f>Gas_Data!B29</f>
        <v>1.2</v>
      </c>
      <c r="G11" s="4" t="s">
        <v>14</v>
      </c>
      <c r="H11" s="5">
        <f t="shared" si="0"/>
        <v>384343.44959999999</v>
      </c>
      <c r="I11" s="5">
        <f t="shared" si="1"/>
        <v>120</v>
      </c>
      <c r="K11" s="4" t="s">
        <v>14</v>
      </c>
      <c r="L11" s="8">
        <f>Electric_Data!D27</f>
        <v>6194.66</v>
      </c>
      <c r="M11" s="8">
        <f>Gas_Data!C29</f>
        <v>50.93</v>
      </c>
    </row>
    <row r="12" spans="1:13" x14ac:dyDescent="0.2">
      <c r="B12" s="4" t="s">
        <v>15</v>
      </c>
      <c r="C12" s="5">
        <f>Electric_Data!B28</f>
        <v>105440</v>
      </c>
      <c r="D12" s="6">
        <f>Electric_Data!C28</f>
        <v>231.84</v>
      </c>
      <c r="E12" s="7">
        <f>Gas_Data!B30</f>
        <v>0.39999999999999997</v>
      </c>
      <c r="G12" s="4" t="s">
        <v>15</v>
      </c>
      <c r="H12" s="5">
        <f t="shared" si="0"/>
        <v>359776.04159999994</v>
      </c>
      <c r="I12" s="5">
        <f t="shared" si="1"/>
        <v>40</v>
      </c>
      <c r="K12" s="4" t="s">
        <v>15</v>
      </c>
      <c r="L12" s="8">
        <f>Electric_Data!D28</f>
        <v>5964.7866666666669</v>
      </c>
      <c r="M12" s="8">
        <f>Gas_Data!C30</f>
        <v>48.960000000000008</v>
      </c>
    </row>
    <row r="13" spans="1:13" x14ac:dyDescent="0.2">
      <c r="B13" s="4" t="s">
        <v>16</v>
      </c>
      <c r="C13" s="5">
        <f>Electric_Data!B29</f>
        <v>109973.33333333333</v>
      </c>
      <c r="D13" s="6">
        <f>Electric_Data!C29</f>
        <v>227.04</v>
      </c>
      <c r="E13" s="7">
        <f>Gas_Data!B31</f>
        <v>1.2</v>
      </c>
      <c r="G13" s="4" t="s">
        <v>16</v>
      </c>
      <c r="H13" s="5">
        <f t="shared" si="0"/>
        <v>375244.40959999996</v>
      </c>
      <c r="I13" s="5">
        <f t="shared" si="1"/>
        <v>120</v>
      </c>
      <c r="K13" s="4" t="s">
        <v>16</v>
      </c>
      <c r="L13" s="8">
        <f>Electric_Data!D29</f>
        <v>6116.496666666666</v>
      </c>
      <c r="M13" s="8">
        <f>Gas_Data!C31</f>
        <v>50.96</v>
      </c>
    </row>
    <row r="14" spans="1:13" x14ac:dyDescent="0.2">
      <c r="B14" s="4" t="s">
        <v>17</v>
      </c>
      <c r="C14" s="5">
        <f>Electric_Data!B30</f>
        <v>92320</v>
      </c>
      <c r="D14" s="6">
        <f>Electric_Data!C30</f>
        <v>212.79999999999998</v>
      </c>
      <c r="E14" s="7">
        <f>Gas_Data!B32</f>
        <v>45.933333333333337</v>
      </c>
      <c r="G14" s="4" t="s">
        <v>17</v>
      </c>
      <c r="H14" s="5">
        <f t="shared" si="0"/>
        <v>315008.7648</v>
      </c>
      <c r="I14" s="5">
        <f t="shared" si="1"/>
        <v>4593.3333333333339</v>
      </c>
      <c r="K14" s="4" t="s">
        <v>17</v>
      </c>
      <c r="L14" s="8">
        <f>Electric_Data!D30</f>
        <v>6318.47</v>
      </c>
      <c r="M14" s="8">
        <f>Gas_Data!C32</f>
        <v>161.92999999999998</v>
      </c>
    </row>
    <row r="15" spans="1:13" x14ac:dyDescent="0.2">
      <c r="B15" s="4" t="s">
        <v>18</v>
      </c>
      <c r="C15" s="5">
        <f>Electric_Data!B31</f>
        <v>90613.333333333328</v>
      </c>
      <c r="D15" s="6">
        <f>Electric_Data!C31</f>
        <v>197.6</v>
      </c>
      <c r="E15" s="7">
        <f>Gas_Data!B33</f>
        <v>182.13333333333333</v>
      </c>
      <c r="G15" s="4" t="s">
        <v>18</v>
      </c>
      <c r="H15" s="5">
        <f t="shared" si="0"/>
        <v>309185.37919999997</v>
      </c>
      <c r="I15" s="5">
        <f t="shared" si="1"/>
        <v>18213.333333333332</v>
      </c>
      <c r="K15" s="4" t="s">
        <v>18</v>
      </c>
      <c r="L15" s="8">
        <f>Electric_Data!D31</f>
        <v>4445.2566666666671</v>
      </c>
      <c r="M15" s="8">
        <f>Gas_Data!C33</f>
        <v>509.25</v>
      </c>
    </row>
    <row r="16" spans="1:13" x14ac:dyDescent="0.2">
      <c r="B16" s="4" t="s">
        <v>19</v>
      </c>
      <c r="C16" s="5">
        <f>Electric_Data!B32</f>
        <v>87093.333333333328</v>
      </c>
      <c r="D16" s="6">
        <f>Electric_Data!C32</f>
        <v>171.89333333333335</v>
      </c>
      <c r="E16" s="7">
        <f>Gas_Data!B34</f>
        <v>401.06666666666666</v>
      </c>
      <c r="G16" s="9" t="s">
        <v>19</v>
      </c>
      <c r="H16" s="10">
        <f t="shared" si="0"/>
        <v>297174.64639999997</v>
      </c>
      <c r="I16" s="5">
        <f t="shared" si="1"/>
        <v>40106.666666666664</v>
      </c>
      <c r="K16" s="9" t="s">
        <v>19</v>
      </c>
      <c r="L16" s="11">
        <f>Electric_Data!D32</f>
        <v>5757.2433333333329</v>
      </c>
      <c r="M16" s="8">
        <f>Gas_Data!C34</f>
        <v>1139.45</v>
      </c>
    </row>
    <row r="17" spans="1:12" x14ac:dyDescent="0.2">
      <c r="G17" s="12"/>
      <c r="H17" s="13"/>
      <c r="K17" s="12"/>
      <c r="L17" s="13"/>
    </row>
    <row r="18" spans="1:12" x14ac:dyDescent="0.2">
      <c r="G18" s="14" t="s">
        <v>20</v>
      </c>
      <c r="H18" s="15">
        <f>SUM(H5:I16)</f>
        <v>4081003.1168</v>
      </c>
      <c r="K18" s="14" t="s">
        <v>21</v>
      </c>
      <c r="L18" s="16">
        <f>SUM(L5:M16)</f>
        <v>73997.436666666661</v>
      </c>
    </row>
    <row r="19" spans="1:12" x14ac:dyDescent="0.2">
      <c r="G19" s="4" t="s">
        <v>22</v>
      </c>
      <c r="H19" s="4">
        <v>58000</v>
      </c>
      <c r="K19" s="4" t="s">
        <v>22</v>
      </c>
      <c r="L19" s="4">
        <v>58000</v>
      </c>
    </row>
    <row r="20" spans="1:12" x14ac:dyDescent="0.2">
      <c r="G20" s="4" t="s">
        <v>23</v>
      </c>
      <c r="H20" s="7">
        <f>H18/H19</f>
        <v>70.362122703448279</v>
      </c>
      <c r="K20" s="4" t="s">
        <v>24</v>
      </c>
      <c r="L20" s="8">
        <f>L18/L19</f>
        <v>1.2758178735632182</v>
      </c>
    </row>
    <row r="21" spans="1:12" x14ac:dyDescent="0.2">
      <c r="G21" s="4" t="s">
        <v>25</v>
      </c>
      <c r="H21" s="4">
        <v>65.7</v>
      </c>
      <c r="K21" s="4" t="s">
        <v>26</v>
      </c>
      <c r="L21" s="2" t="s">
        <v>27</v>
      </c>
    </row>
    <row r="22" spans="1:12" x14ac:dyDescent="0.2">
      <c r="H22" s="17"/>
    </row>
    <row r="26" spans="1:12" x14ac:dyDescent="0.2">
      <c r="A26" s="3"/>
    </row>
    <row r="32" spans="1:12" x14ac:dyDescent="0.2">
      <c r="H32" s="3"/>
    </row>
  </sheetData>
  <mergeCells count="4">
    <mergeCell ref="A1:F1"/>
    <mergeCell ref="C3:D3"/>
    <mergeCell ref="H4:I4"/>
    <mergeCell ref="L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000"/>
  <sheetViews>
    <sheetView workbookViewId="0">
      <selection activeCell="B21" sqref="B21"/>
    </sheetView>
  </sheetViews>
  <sheetFormatPr defaultColWidth="12.5703125" defaultRowHeight="15.75" customHeight="1" x14ac:dyDescent="0.2"/>
  <cols>
    <col min="2" max="22" width="12" customWidth="1"/>
  </cols>
  <sheetData>
    <row r="1" spans="1:22" x14ac:dyDescent="0.2">
      <c r="A1" s="18" t="s">
        <v>28</v>
      </c>
      <c r="B1" s="19" t="s">
        <v>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B3" s="39">
        <v>2019</v>
      </c>
      <c r="C3" s="36"/>
      <c r="D3" s="36"/>
      <c r="E3" s="36"/>
      <c r="F3" s="36"/>
      <c r="G3" s="36"/>
      <c r="H3" s="36"/>
      <c r="I3" s="40">
        <v>2020</v>
      </c>
      <c r="J3" s="36"/>
      <c r="K3" s="36"/>
      <c r="L3" s="36"/>
      <c r="M3" s="36"/>
      <c r="N3" s="36"/>
      <c r="O3" s="36"/>
      <c r="P3" s="41">
        <v>2021</v>
      </c>
      <c r="Q3" s="36"/>
      <c r="R3" s="36"/>
      <c r="S3" s="36"/>
      <c r="T3" s="36"/>
      <c r="U3" s="36"/>
      <c r="V3" s="36"/>
    </row>
    <row r="4" spans="1:22" x14ac:dyDescent="0.2">
      <c r="B4" s="20" t="s">
        <v>3</v>
      </c>
      <c r="C4" s="20" t="s">
        <v>30</v>
      </c>
      <c r="D4" s="20" t="s">
        <v>31</v>
      </c>
      <c r="E4" s="20" t="s">
        <v>4</v>
      </c>
      <c r="F4" s="20" t="s">
        <v>32</v>
      </c>
      <c r="G4" s="20" t="s">
        <v>33</v>
      </c>
      <c r="H4" s="21" t="s">
        <v>34</v>
      </c>
      <c r="I4" s="20" t="s">
        <v>3</v>
      </c>
      <c r="J4" s="20" t="s">
        <v>30</v>
      </c>
      <c r="K4" s="20" t="s">
        <v>31</v>
      </c>
      <c r="L4" s="20" t="s">
        <v>4</v>
      </c>
      <c r="M4" s="20" t="s">
        <v>32</v>
      </c>
      <c r="N4" s="20" t="s">
        <v>33</v>
      </c>
      <c r="O4" s="21" t="s">
        <v>34</v>
      </c>
      <c r="P4" s="20" t="s">
        <v>3</v>
      </c>
      <c r="Q4" s="20" t="s">
        <v>30</v>
      </c>
      <c r="R4" s="20" t="s">
        <v>31</v>
      </c>
      <c r="S4" s="20" t="s">
        <v>4</v>
      </c>
      <c r="T4" s="20" t="s">
        <v>32</v>
      </c>
      <c r="U4" s="20" t="s">
        <v>33</v>
      </c>
      <c r="V4" s="21" t="s">
        <v>34</v>
      </c>
    </row>
    <row r="5" spans="1:22" x14ac:dyDescent="0.2">
      <c r="A5" s="18" t="s">
        <v>8</v>
      </c>
      <c r="B5" s="22">
        <v>92640</v>
      </c>
      <c r="C5" s="23">
        <v>4674.3</v>
      </c>
      <c r="D5" s="24">
        <f t="shared" ref="D5:D16" si="0">C5/B5</f>
        <v>5.0456606217616586E-2</v>
      </c>
      <c r="E5" s="25">
        <v>165.44</v>
      </c>
      <c r="F5" s="23">
        <v>877.86</v>
      </c>
      <c r="G5" s="23">
        <v>82</v>
      </c>
      <c r="H5" s="26">
        <f t="shared" ref="H5:H16" si="1">SUM(C5+F5+G5)</f>
        <v>5634.16</v>
      </c>
      <c r="I5" s="22">
        <v>94080</v>
      </c>
      <c r="J5" s="23">
        <v>5046.9399999999996</v>
      </c>
      <c r="K5" s="24">
        <f t="shared" ref="K5:K16" si="2">J5/I5</f>
        <v>5.3645195578231289E-2</v>
      </c>
      <c r="L5" s="25">
        <v>188.32</v>
      </c>
      <c r="M5" s="23">
        <v>1031.8399999999999</v>
      </c>
      <c r="N5" s="23">
        <v>84.3</v>
      </c>
      <c r="O5" s="26">
        <f t="shared" ref="O5:O16" si="3">SUM(J5+M5+N5)</f>
        <v>6163.08</v>
      </c>
      <c r="P5" s="22">
        <v>95040</v>
      </c>
      <c r="Q5" s="23">
        <v>5136.58</v>
      </c>
      <c r="R5" s="24">
        <f t="shared" ref="R5:R16" si="4">Q5/P5</f>
        <v>5.4046506734006731E-2</v>
      </c>
      <c r="S5" s="25">
        <v>175.36</v>
      </c>
      <c r="T5" s="23">
        <v>944.62</v>
      </c>
      <c r="U5" s="23">
        <v>100.8</v>
      </c>
      <c r="V5" s="26">
        <f t="shared" ref="V5:V16" si="5">SUM(Q5+T5+U5)</f>
        <v>6182</v>
      </c>
    </row>
    <row r="6" spans="1:22" x14ac:dyDescent="0.2">
      <c r="A6" s="18" t="s">
        <v>9</v>
      </c>
      <c r="B6" s="22">
        <v>93760</v>
      </c>
      <c r="C6" s="23">
        <v>4728.74</v>
      </c>
      <c r="D6" s="24">
        <f t="shared" si="0"/>
        <v>5.0434513651877129E-2</v>
      </c>
      <c r="E6" s="25">
        <v>164.16</v>
      </c>
      <c r="F6" s="23">
        <v>869.25</v>
      </c>
      <c r="G6" s="23">
        <v>82.2</v>
      </c>
      <c r="H6" s="26">
        <f t="shared" si="1"/>
        <v>5680.19</v>
      </c>
      <c r="I6" s="22">
        <v>97760</v>
      </c>
      <c r="J6" s="23">
        <v>5237.1899999999996</v>
      </c>
      <c r="K6" s="24">
        <f t="shared" si="2"/>
        <v>5.3571910801963989E-2</v>
      </c>
      <c r="L6" s="25">
        <v>184</v>
      </c>
      <c r="M6" s="23">
        <v>1002.77</v>
      </c>
      <c r="N6" s="23">
        <v>84.3</v>
      </c>
      <c r="O6" s="26">
        <f t="shared" si="3"/>
        <v>6324.2599999999993</v>
      </c>
      <c r="P6" s="22">
        <v>83840</v>
      </c>
      <c r="Q6" s="23">
        <v>4553.0600000000004</v>
      </c>
      <c r="R6" s="24">
        <f t="shared" si="4"/>
        <v>5.4306536259541988E-2</v>
      </c>
      <c r="S6" s="25">
        <v>160.32</v>
      </c>
      <c r="T6" s="23">
        <v>843.4</v>
      </c>
      <c r="U6" s="23">
        <v>100.8</v>
      </c>
      <c r="V6" s="26">
        <f t="shared" si="5"/>
        <v>5497.26</v>
      </c>
    </row>
    <row r="7" spans="1:22" x14ac:dyDescent="0.2">
      <c r="A7" s="18" t="s">
        <v>10</v>
      </c>
      <c r="B7" s="22">
        <v>85920</v>
      </c>
      <c r="C7" s="23">
        <v>4347.71</v>
      </c>
      <c r="D7" s="24">
        <f t="shared" si="0"/>
        <v>5.0601838919925514E-2</v>
      </c>
      <c r="E7" s="25">
        <v>196.8</v>
      </c>
      <c r="F7" s="23">
        <v>1088.9100000000001</v>
      </c>
      <c r="G7" s="27">
        <f>82.2+13.25</f>
        <v>95.45</v>
      </c>
      <c r="H7" s="26">
        <f t="shared" si="1"/>
        <v>5532.07</v>
      </c>
      <c r="I7" s="22">
        <v>85920</v>
      </c>
      <c r="J7" s="23">
        <v>4625.0600000000004</v>
      </c>
      <c r="K7" s="24">
        <f t="shared" si="2"/>
        <v>5.3829841713221603E-2</v>
      </c>
      <c r="L7" s="25">
        <v>181.76</v>
      </c>
      <c r="M7" s="23">
        <v>987.69</v>
      </c>
      <c r="N7" s="23">
        <v>84.3</v>
      </c>
      <c r="O7" s="26">
        <f t="shared" si="3"/>
        <v>5697.05</v>
      </c>
      <c r="P7" s="22">
        <v>81280</v>
      </c>
      <c r="Q7" s="23">
        <v>4419.6899999999996</v>
      </c>
      <c r="R7" s="24">
        <f t="shared" si="4"/>
        <v>5.4376107283464564E-2</v>
      </c>
      <c r="S7" s="25">
        <v>171.04</v>
      </c>
      <c r="T7" s="23">
        <v>915.55</v>
      </c>
      <c r="U7" s="23">
        <v>100.8</v>
      </c>
      <c r="V7" s="26">
        <f t="shared" si="5"/>
        <v>5436.04</v>
      </c>
    </row>
    <row r="8" spans="1:22" x14ac:dyDescent="0.2">
      <c r="A8" s="18" t="s">
        <v>11</v>
      </c>
      <c r="B8" s="22">
        <v>98240</v>
      </c>
      <c r="C8" s="23">
        <v>4946.46</v>
      </c>
      <c r="D8" s="24">
        <f t="shared" si="0"/>
        <v>5.0350773615635176E-2</v>
      </c>
      <c r="E8" s="25">
        <v>207.68</v>
      </c>
      <c r="F8" s="23">
        <v>1162.1400000000001</v>
      </c>
      <c r="G8" s="27">
        <f>82.2+27.95</f>
        <v>110.15</v>
      </c>
      <c r="H8" s="26">
        <f t="shared" si="1"/>
        <v>6218.75</v>
      </c>
      <c r="I8" s="22">
        <v>84320</v>
      </c>
      <c r="J8" s="23">
        <v>4542.34</v>
      </c>
      <c r="K8" s="24">
        <f t="shared" si="2"/>
        <v>5.3870256166982926E-2</v>
      </c>
      <c r="L8" s="25">
        <v>176.8</v>
      </c>
      <c r="M8" s="23">
        <v>954.31</v>
      </c>
      <c r="N8" s="23">
        <v>84.3</v>
      </c>
      <c r="O8" s="26">
        <f t="shared" si="3"/>
        <v>5580.95</v>
      </c>
      <c r="P8" s="22">
        <v>95200</v>
      </c>
      <c r="Q8" s="23">
        <v>5144.92</v>
      </c>
      <c r="R8" s="24">
        <f t="shared" si="4"/>
        <v>5.404327731092437E-2</v>
      </c>
      <c r="S8" s="25">
        <v>202.72</v>
      </c>
      <c r="T8" s="23">
        <v>1128.76</v>
      </c>
      <c r="U8" s="27">
        <f>100.8+13.64</f>
        <v>114.44</v>
      </c>
      <c r="V8" s="26">
        <f t="shared" si="5"/>
        <v>6388.12</v>
      </c>
    </row>
    <row r="9" spans="1:22" x14ac:dyDescent="0.2">
      <c r="A9" s="18" t="s">
        <v>12</v>
      </c>
      <c r="B9" s="22">
        <v>93760</v>
      </c>
      <c r="C9" s="23">
        <v>4000.53</v>
      </c>
      <c r="D9" s="24">
        <f t="shared" si="0"/>
        <v>4.2667768771331063E-2</v>
      </c>
      <c r="E9" s="25">
        <v>216.16</v>
      </c>
      <c r="F9" s="23">
        <v>1219.21</v>
      </c>
      <c r="G9" s="27">
        <f>84.3+29.09</f>
        <v>113.39</v>
      </c>
      <c r="H9" s="26">
        <f t="shared" si="1"/>
        <v>5333.13</v>
      </c>
      <c r="I9" s="22">
        <v>64320</v>
      </c>
      <c r="J9" s="23">
        <v>2814.1</v>
      </c>
      <c r="K9" s="24">
        <f t="shared" si="2"/>
        <v>4.3751554726368158E-2</v>
      </c>
      <c r="L9" s="25">
        <v>157.12</v>
      </c>
      <c r="M9" s="23">
        <v>821.87</v>
      </c>
      <c r="N9" s="23">
        <v>84.3</v>
      </c>
      <c r="O9" s="26">
        <f t="shared" si="3"/>
        <v>3720.27</v>
      </c>
      <c r="P9" s="22">
        <v>89600</v>
      </c>
      <c r="Q9" s="23">
        <v>3917.52</v>
      </c>
      <c r="R9" s="24">
        <f t="shared" si="4"/>
        <v>4.372232142857143E-2</v>
      </c>
      <c r="S9" s="25">
        <v>212.96</v>
      </c>
      <c r="T9" s="23">
        <v>1197.67</v>
      </c>
      <c r="U9" s="27">
        <f>128.4+14.33</f>
        <v>142.73000000000002</v>
      </c>
      <c r="V9" s="26">
        <f t="shared" si="5"/>
        <v>5257.92</v>
      </c>
    </row>
    <row r="10" spans="1:22" x14ac:dyDescent="0.2">
      <c r="A10" s="18" t="s">
        <v>13</v>
      </c>
      <c r="B10" s="22">
        <v>104480</v>
      </c>
      <c r="C10" s="23">
        <v>4432.54</v>
      </c>
      <c r="D10" s="24">
        <f t="shared" si="0"/>
        <v>4.2424770290964781E-2</v>
      </c>
      <c r="E10" s="25">
        <v>240.16</v>
      </c>
      <c r="F10" s="23">
        <v>1380.73</v>
      </c>
      <c r="G10" s="27">
        <f>84.3+32.32</f>
        <v>116.62</v>
      </c>
      <c r="H10" s="26">
        <f t="shared" si="1"/>
        <v>5929.89</v>
      </c>
      <c r="I10" s="22">
        <v>75040</v>
      </c>
      <c r="J10" s="23">
        <v>3246.11</v>
      </c>
      <c r="K10" s="24">
        <f t="shared" si="2"/>
        <v>4.3258395522388061E-2</v>
      </c>
      <c r="L10" s="25">
        <v>170.4</v>
      </c>
      <c r="M10" s="23">
        <v>911.24</v>
      </c>
      <c r="N10" s="27">
        <f>84.3+11.47</f>
        <v>95.77</v>
      </c>
      <c r="O10" s="26">
        <f t="shared" si="3"/>
        <v>4253.1200000000008</v>
      </c>
      <c r="P10" s="22">
        <v>97920</v>
      </c>
      <c r="Q10" s="23">
        <v>4260.3</v>
      </c>
      <c r="R10" s="24">
        <f t="shared" si="4"/>
        <v>4.3507965686274512E-2</v>
      </c>
      <c r="S10" s="25">
        <v>223.84</v>
      </c>
      <c r="T10" s="23">
        <v>1270.8900000000001</v>
      </c>
      <c r="U10" s="27">
        <f>128.4+15.07</f>
        <v>143.47</v>
      </c>
      <c r="V10" s="26">
        <f t="shared" si="5"/>
        <v>5674.6600000000008</v>
      </c>
    </row>
    <row r="11" spans="1:22" x14ac:dyDescent="0.2">
      <c r="A11" s="18" t="s">
        <v>14</v>
      </c>
      <c r="B11" s="22">
        <v>114880</v>
      </c>
      <c r="C11" s="23">
        <v>4851.66</v>
      </c>
      <c r="D11" s="24">
        <f t="shared" si="0"/>
        <v>4.2232416434540392E-2</v>
      </c>
      <c r="E11" s="25">
        <v>221.44</v>
      </c>
      <c r="F11" s="23">
        <v>1254.74</v>
      </c>
      <c r="G11" s="27">
        <f>84.3+29.81</f>
        <v>114.11</v>
      </c>
      <c r="H11" s="26">
        <f t="shared" si="1"/>
        <v>6220.5099999999993</v>
      </c>
      <c r="I11" s="22">
        <v>103200</v>
      </c>
      <c r="J11" s="23">
        <v>4380.96</v>
      </c>
      <c r="K11" s="24">
        <f t="shared" si="2"/>
        <v>4.2451162790697675E-2</v>
      </c>
      <c r="L11" s="25">
        <v>214.56</v>
      </c>
      <c r="M11" s="23">
        <v>1208.44</v>
      </c>
      <c r="N11" s="23">
        <v>84.3</v>
      </c>
      <c r="O11" s="26">
        <f t="shared" si="3"/>
        <v>5673.7</v>
      </c>
      <c r="P11" s="22">
        <v>119840</v>
      </c>
      <c r="Q11" s="23">
        <v>5163.41</v>
      </c>
      <c r="R11" s="24">
        <f t="shared" si="4"/>
        <v>4.3085864485981305E-2</v>
      </c>
      <c r="S11" s="25">
        <v>242.72</v>
      </c>
      <c r="T11" s="23">
        <v>1397.96</v>
      </c>
      <c r="U11" s="23">
        <v>128.4</v>
      </c>
      <c r="V11" s="26">
        <f t="shared" si="5"/>
        <v>6689.7699999999995</v>
      </c>
    </row>
    <row r="12" spans="1:22" x14ac:dyDescent="0.2">
      <c r="A12" s="18" t="s">
        <v>15</v>
      </c>
      <c r="B12" s="22">
        <v>105280</v>
      </c>
      <c r="C12" s="23">
        <v>4464.78</v>
      </c>
      <c r="D12" s="24">
        <f t="shared" si="0"/>
        <v>4.2408624620060786E-2</v>
      </c>
      <c r="E12" s="25">
        <v>238.08</v>
      </c>
      <c r="F12" s="23">
        <v>1366.73</v>
      </c>
      <c r="G12" s="27">
        <f>84.3+32.04</f>
        <v>116.34</v>
      </c>
      <c r="H12" s="26">
        <f t="shared" si="1"/>
        <v>5947.85</v>
      </c>
      <c r="I12" s="22">
        <v>100000</v>
      </c>
      <c r="J12" s="23">
        <v>4293</v>
      </c>
      <c r="K12" s="24">
        <f t="shared" si="2"/>
        <v>4.2930000000000003E-2</v>
      </c>
      <c r="L12" s="25">
        <v>219.84</v>
      </c>
      <c r="M12" s="23">
        <v>1243.97</v>
      </c>
      <c r="N12" s="23">
        <v>100.8</v>
      </c>
      <c r="O12" s="26">
        <f t="shared" si="3"/>
        <v>5637.77</v>
      </c>
      <c r="P12" s="22">
        <v>111040</v>
      </c>
      <c r="Q12" s="23">
        <v>4800.8500000000004</v>
      </c>
      <c r="R12" s="24">
        <f t="shared" si="4"/>
        <v>4.3235320605187325E-2</v>
      </c>
      <c r="S12" s="25">
        <v>237.6</v>
      </c>
      <c r="T12" s="23">
        <v>1363.5</v>
      </c>
      <c r="U12" s="27">
        <f>128.4+15.99</f>
        <v>144.39000000000001</v>
      </c>
      <c r="V12" s="26">
        <f t="shared" si="5"/>
        <v>6308.7400000000007</v>
      </c>
    </row>
    <row r="13" spans="1:22" x14ac:dyDescent="0.2">
      <c r="A13" s="18" t="s">
        <v>16</v>
      </c>
      <c r="B13" s="22">
        <v>106720</v>
      </c>
      <c r="C13" s="23">
        <v>4522.82</v>
      </c>
      <c r="D13" s="24">
        <f t="shared" si="0"/>
        <v>4.2380247376311839E-2</v>
      </c>
      <c r="E13" s="25">
        <v>237.76</v>
      </c>
      <c r="F13" s="23">
        <v>1364.57</v>
      </c>
      <c r="G13" s="27">
        <f>84.3+16.01</f>
        <v>100.31</v>
      </c>
      <c r="H13" s="26">
        <f t="shared" si="1"/>
        <v>5987.7</v>
      </c>
      <c r="I13" s="22">
        <v>109600</v>
      </c>
      <c r="J13" s="23">
        <v>4683.72</v>
      </c>
      <c r="K13" s="24">
        <f t="shared" si="2"/>
        <v>4.273467153284672E-2</v>
      </c>
      <c r="L13" s="25">
        <v>222.56</v>
      </c>
      <c r="M13" s="23">
        <v>1262.28</v>
      </c>
      <c r="N13" s="27">
        <f>100.8+14.98</f>
        <v>115.78</v>
      </c>
      <c r="O13" s="26">
        <f t="shared" si="3"/>
        <v>6061.78</v>
      </c>
      <c r="P13" s="22">
        <v>113600</v>
      </c>
      <c r="Q13" s="23">
        <v>4906.32</v>
      </c>
      <c r="R13" s="24">
        <f t="shared" si="4"/>
        <v>4.3189436619718309E-2</v>
      </c>
      <c r="S13" s="25">
        <v>220.8</v>
      </c>
      <c r="T13" s="23">
        <v>1250.43</v>
      </c>
      <c r="U13" s="27">
        <f>128.4+14.86</f>
        <v>143.26</v>
      </c>
      <c r="V13" s="26">
        <f t="shared" si="5"/>
        <v>6300.01</v>
      </c>
    </row>
    <row r="14" spans="1:22" x14ac:dyDescent="0.2">
      <c r="A14" s="18" t="s">
        <v>17</v>
      </c>
      <c r="B14" s="22">
        <v>94880</v>
      </c>
      <c r="C14" s="23">
        <v>5088.3</v>
      </c>
      <c r="D14" s="24">
        <f t="shared" si="0"/>
        <v>5.362879426644182E-2</v>
      </c>
      <c r="E14" s="25">
        <v>211.68</v>
      </c>
      <c r="F14" s="23">
        <v>1189.06</v>
      </c>
      <c r="G14" s="27">
        <f>84.3+14.24</f>
        <v>98.539999999999992</v>
      </c>
      <c r="H14" s="26">
        <f t="shared" si="1"/>
        <v>6375.9000000000005</v>
      </c>
      <c r="I14" s="22">
        <v>92800</v>
      </c>
      <c r="J14" s="23">
        <v>5019.88</v>
      </c>
      <c r="K14" s="24">
        <f t="shared" si="2"/>
        <v>5.4093534482758623E-2</v>
      </c>
      <c r="L14" s="25">
        <v>214.08</v>
      </c>
      <c r="M14" s="23">
        <v>1205.21</v>
      </c>
      <c r="N14" s="27">
        <f>100.8+14.41</f>
        <v>115.21</v>
      </c>
      <c r="O14" s="26">
        <f t="shared" si="3"/>
        <v>6340.3</v>
      </c>
      <c r="P14" s="22">
        <v>89280</v>
      </c>
      <c r="Q14" s="23">
        <v>4900.9799999999996</v>
      </c>
      <c r="R14" s="24">
        <f t="shared" si="4"/>
        <v>5.4894489247311822E-2</v>
      </c>
      <c r="S14" s="25">
        <v>212.64</v>
      </c>
      <c r="T14" s="23">
        <v>1195.52</v>
      </c>
      <c r="U14" s="27">
        <f>128.4+14.31</f>
        <v>142.71</v>
      </c>
      <c r="V14" s="26">
        <f t="shared" si="5"/>
        <v>6239.21</v>
      </c>
    </row>
    <row r="15" spans="1:22" x14ac:dyDescent="0.2">
      <c r="A15" s="18" t="s">
        <v>18</v>
      </c>
      <c r="B15" s="22">
        <v>100800</v>
      </c>
      <c r="C15" s="23">
        <v>5394.36</v>
      </c>
      <c r="D15" s="24">
        <f t="shared" si="0"/>
        <v>5.351547619047619E-2</v>
      </c>
      <c r="E15" s="25">
        <v>200.64</v>
      </c>
      <c r="F15" s="23">
        <v>114.76</v>
      </c>
      <c r="G15" s="23">
        <v>84.3</v>
      </c>
      <c r="H15" s="26">
        <f t="shared" si="1"/>
        <v>5593.42</v>
      </c>
      <c r="I15" s="22">
        <v>82720</v>
      </c>
      <c r="J15" s="23">
        <v>494.71</v>
      </c>
      <c r="K15" s="24">
        <f t="shared" si="2"/>
        <v>5.9805367504835588E-3</v>
      </c>
      <c r="L15" s="25">
        <v>197.44</v>
      </c>
      <c r="M15" s="23">
        <v>1093.22</v>
      </c>
      <c r="N15" s="23">
        <v>100.8</v>
      </c>
      <c r="O15" s="26">
        <f t="shared" si="3"/>
        <v>1688.73</v>
      </c>
      <c r="P15" s="22">
        <v>88320</v>
      </c>
      <c r="Q15" s="23">
        <v>4850.3</v>
      </c>
      <c r="R15" s="24">
        <f t="shared" si="4"/>
        <v>5.4917346014492753E-2</v>
      </c>
      <c r="S15" s="25">
        <v>194.72</v>
      </c>
      <c r="T15" s="23">
        <v>1074.92</v>
      </c>
      <c r="U15" s="23">
        <v>128.4</v>
      </c>
      <c r="V15" s="26">
        <f t="shared" si="5"/>
        <v>6053.62</v>
      </c>
    </row>
    <row r="16" spans="1:22" x14ac:dyDescent="0.2">
      <c r="A16" s="18" t="s">
        <v>19</v>
      </c>
      <c r="B16" s="22">
        <v>88480</v>
      </c>
      <c r="C16" s="23">
        <v>4757.42</v>
      </c>
      <c r="D16" s="24">
        <f t="shared" si="0"/>
        <v>5.376830922242315E-2</v>
      </c>
      <c r="E16" s="25">
        <v>174.56</v>
      </c>
      <c r="F16" s="23">
        <v>939.24</v>
      </c>
      <c r="G16" s="23">
        <v>84.3</v>
      </c>
      <c r="H16" s="26">
        <f t="shared" si="1"/>
        <v>5780.96</v>
      </c>
      <c r="I16" s="22">
        <v>84160</v>
      </c>
      <c r="J16" s="23">
        <v>4569.74</v>
      </c>
      <c r="K16" s="24">
        <f t="shared" si="2"/>
        <v>5.4298241444866918E-2</v>
      </c>
      <c r="L16" s="25">
        <v>161.44</v>
      </c>
      <c r="M16" s="23">
        <v>850.94</v>
      </c>
      <c r="N16" s="23">
        <v>100.8</v>
      </c>
      <c r="O16" s="26">
        <f t="shared" si="3"/>
        <v>5521.4800000000005</v>
      </c>
      <c r="P16" s="22">
        <v>88640</v>
      </c>
      <c r="Q16" s="23">
        <v>4867.1899999999996</v>
      </c>
      <c r="R16" s="24">
        <f t="shared" si="4"/>
        <v>5.490963447653429E-2</v>
      </c>
      <c r="S16" s="25">
        <v>179.68</v>
      </c>
      <c r="T16" s="23">
        <v>973.7</v>
      </c>
      <c r="U16" s="23">
        <v>128.4</v>
      </c>
      <c r="V16" s="26">
        <f t="shared" si="5"/>
        <v>5969.2899999999991</v>
      </c>
    </row>
    <row r="17" spans="1:22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B19" s="42" t="s">
        <v>35</v>
      </c>
      <c r="C19" s="36"/>
      <c r="D19" s="3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B20" s="20" t="s">
        <v>3</v>
      </c>
      <c r="C20" s="20" t="s">
        <v>4</v>
      </c>
      <c r="D20" s="20" t="s">
        <v>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 t="s">
        <v>8</v>
      </c>
      <c r="B21" s="28">
        <f t="shared" ref="B21:B32" si="6">(B5+I5+P5)/3</f>
        <v>93920</v>
      </c>
      <c r="C21" s="29">
        <f t="shared" ref="C21:C32" si="7">(E5+L5+S5)/3</f>
        <v>176.37333333333333</v>
      </c>
      <c r="D21" s="27">
        <f t="shared" ref="D21:D32" si="8">(H5+O5+V5)/3</f>
        <v>5993.079999999999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8" t="s">
        <v>9</v>
      </c>
      <c r="B22" s="28">
        <f t="shared" si="6"/>
        <v>91786.666666666672</v>
      </c>
      <c r="C22" s="29">
        <f t="shared" si="7"/>
        <v>169.49333333333331</v>
      </c>
      <c r="D22" s="27">
        <f t="shared" si="8"/>
        <v>5833.9033333333327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18" t="s">
        <v>10</v>
      </c>
      <c r="B23" s="28">
        <f t="shared" si="6"/>
        <v>84373.333333333328</v>
      </c>
      <c r="C23" s="29">
        <f t="shared" si="7"/>
        <v>183.20000000000002</v>
      </c>
      <c r="D23" s="27">
        <f t="shared" si="8"/>
        <v>5555.0533333333333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8" t="s">
        <v>11</v>
      </c>
      <c r="B24" s="28">
        <f t="shared" si="6"/>
        <v>92586.666666666672</v>
      </c>
      <c r="C24" s="29">
        <f t="shared" si="7"/>
        <v>195.73333333333335</v>
      </c>
      <c r="D24" s="27">
        <f t="shared" si="8"/>
        <v>6062.6066666666666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 t="s">
        <v>12</v>
      </c>
      <c r="B25" s="28">
        <f t="shared" si="6"/>
        <v>82560</v>
      </c>
      <c r="C25" s="29">
        <f t="shared" si="7"/>
        <v>195.41333333333333</v>
      </c>
      <c r="D25" s="27">
        <f t="shared" si="8"/>
        <v>4770.4399999999996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8" t="s">
        <v>13</v>
      </c>
      <c r="B26" s="28">
        <f t="shared" si="6"/>
        <v>92480</v>
      </c>
      <c r="C26" s="29">
        <f t="shared" si="7"/>
        <v>211.46666666666667</v>
      </c>
      <c r="D26" s="27">
        <f t="shared" si="8"/>
        <v>5285.89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18" t="s">
        <v>14</v>
      </c>
      <c r="B27" s="28">
        <f t="shared" si="6"/>
        <v>112640</v>
      </c>
      <c r="C27" s="29">
        <f t="shared" si="7"/>
        <v>226.24</v>
      </c>
      <c r="D27" s="27">
        <f t="shared" si="8"/>
        <v>6194.66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18" t="s">
        <v>15</v>
      </c>
      <c r="B28" s="28">
        <f t="shared" si="6"/>
        <v>105440</v>
      </c>
      <c r="C28" s="29">
        <f t="shared" si="7"/>
        <v>231.84</v>
      </c>
      <c r="D28" s="27">
        <f t="shared" si="8"/>
        <v>5964.7866666666669</v>
      </c>
      <c r="E28" s="3"/>
      <c r="F28" s="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"/>
      <c r="R28" s="3"/>
      <c r="S28" s="3"/>
      <c r="T28" s="3"/>
      <c r="U28" s="3"/>
      <c r="V28" s="3"/>
    </row>
    <row r="29" spans="1:22" x14ac:dyDescent="0.2">
      <c r="A29" s="18" t="s">
        <v>16</v>
      </c>
      <c r="B29" s="28">
        <f t="shared" si="6"/>
        <v>109973.33333333333</v>
      </c>
      <c r="C29" s="29">
        <f t="shared" si="7"/>
        <v>227.04</v>
      </c>
      <c r="D29" s="27">
        <f t="shared" si="8"/>
        <v>6116.496666666666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18" t="s">
        <v>17</v>
      </c>
      <c r="B30" s="28">
        <f t="shared" si="6"/>
        <v>92320</v>
      </c>
      <c r="C30" s="29">
        <f t="shared" si="7"/>
        <v>212.79999999999998</v>
      </c>
      <c r="D30" s="27">
        <f t="shared" si="8"/>
        <v>6318.47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18" t="s">
        <v>18</v>
      </c>
      <c r="B31" s="28">
        <f t="shared" si="6"/>
        <v>90613.333333333328</v>
      </c>
      <c r="C31" s="29">
        <f t="shared" si="7"/>
        <v>197.6</v>
      </c>
      <c r="D31" s="27">
        <f t="shared" si="8"/>
        <v>4445.2566666666671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18" t="s">
        <v>19</v>
      </c>
      <c r="B32" s="28">
        <f t="shared" si="6"/>
        <v>87093.333333333328</v>
      </c>
      <c r="C32" s="29">
        <f t="shared" si="7"/>
        <v>171.89333333333335</v>
      </c>
      <c r="D32" s="27">
        <f t="shared" si="8"/>
        <v>5757.2433333333329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2:22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2:22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2:22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2:22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2:22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2:22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2:2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2:2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2:2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2:2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2:2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2:2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2:2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2:2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2:2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2:2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2:2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2:2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2:2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2:2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2:2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2:2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2:2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2:2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2:22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2:22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2:22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2:22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2:22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2:22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2:22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2:22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2:22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2:22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2:22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2:22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2:22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2:22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2:22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2:22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2:22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2:22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2:22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2:22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2:22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2:22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2:22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2:22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2:22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2:22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2:22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2:2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2:22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2:22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2:22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2:22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2:22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2:22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2:22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2:22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2:22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2:22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2:22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2:22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2:22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2:22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2:22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2:22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2:22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2:22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2:22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2:22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2:22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2:22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2:22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2:22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2:22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2:22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2:22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2:22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2:22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2:22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2:22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2:22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2:22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2:22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2:22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2:22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2:22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2:22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2:22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2:22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2:22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2:22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2:22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2:22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2:22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2:22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2:22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2:22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2:22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2:22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2:22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2:22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2:22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2:22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2:22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2:22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2:22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2:22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2:22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2:22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2:22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2:22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2:22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2:22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2:22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2:22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2:22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2:22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2:22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2:22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2:22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2:22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2:22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2:22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2:22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2:22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2:22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2:22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2:22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2:22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2:22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2:22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2:22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2:22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2:22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2:22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2:22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2:22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2:22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2:22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2:22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2:22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2:22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2:22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2:22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2:22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2:22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2:22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2:22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2:22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2:22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2:22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2:22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2:22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2:22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2:22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2:22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2:22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2:22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2:22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2:22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2:22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2:22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2:22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2:22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2:22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2:22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2:22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2:22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2:22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2:22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2:22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2:22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2:22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2:22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2:22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2:22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2:22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2:22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2:22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2:22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2:22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2:22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2:22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2:22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2:22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2:22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2:22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2:22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2:22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2:22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2:22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2:22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2:22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2:22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2:22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2:22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2:22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2:22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2:22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2:22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2:22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2:22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2:22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2:22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2:22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2:22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2:22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2:22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2:22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2:22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2:22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2:22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2:22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2:22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2:22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2:22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2:22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2:22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2:22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2:22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2:22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2:22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2:22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2:22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2:22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2:22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2:22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2:22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2:22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2:22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2:22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2:22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2:22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2:22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2:22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2:22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2:22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2:22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2:22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2:22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2:22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2:22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2:22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2:22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2:22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2:22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2:22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2:22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2:22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2:22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2:22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2:22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2:22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2:22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2:22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2:22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2:22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2:22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2:22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2:22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2:22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2:22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2:22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2:22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2:22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2:22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2:22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2:22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2:22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2:22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2:22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2:22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2:22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2:22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2:22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2:22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2:22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2:22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2:22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2:22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2:22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2:22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2:22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2:22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2:22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2:22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2:22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2:22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2:22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2:22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2:22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2:22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2:22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2:22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2:22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2:22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2:22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2:22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2:22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2:22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2:22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2:22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2:22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2:22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2:22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2:22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2:22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2:22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2:22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2:22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2:22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2:22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2:22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2:22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2:22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2:22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2:22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2:22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2:22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2:22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2:22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2:22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2:22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2:22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2:22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2:22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2:22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2:22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2:22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2:22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2:22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2:22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2:22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2:22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2:22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2:22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2:22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2:22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2:22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2:22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2:22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2:22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2:22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2:22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2:22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2:22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2:22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2:22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2:22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2:22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2:22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2:22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2:22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2:22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2:22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2:22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2:22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2:22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2:22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2:22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2:22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2:22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2:22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2:22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2:22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2:22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2:22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2:22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2:22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2:22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2:22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2:22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2:22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2:22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2:22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2:22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2:22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2:22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2:22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2:22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2:22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2:22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2:22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2:22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2:22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2:22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2:22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2:22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2:22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2:22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2:22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2:22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2:22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2:22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2:22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2:22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2:22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2:22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2:22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2:22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2:22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2:22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2:22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2:22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2:22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2:22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2:22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2:22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2:22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2:22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2:22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2:22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2:22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2:22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2:22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2:22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2:22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2:22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2:22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2:22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2:22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2:22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2:22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2:22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2:22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2:22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2:22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2:22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2:22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2:22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2:22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2:22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2:22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2:22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2:22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2:22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2:22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2:22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2:22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2:22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2:22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2:22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2:22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2:22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2:22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2:22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2:22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2:22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2:22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2:22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2:22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2:22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2:22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2:22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2:22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2:22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2:22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2:22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2:22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2:22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2:22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2:22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2:22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2:22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2:22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2:22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2:22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2:22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2:22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2:22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2:22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2:22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2:22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2:22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2:22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2:22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2:22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2:22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2:22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2:22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2:22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2:22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2:22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2:22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2:22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2:22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2:22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2:22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2:22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2:22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2:22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2:22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2:22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2:22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2:22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2:22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2:22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2:22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2:22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2:22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2:22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2:22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2:22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2:22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2:22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2:22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2:22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2:22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2:22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2:22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2:22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2:22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2:22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2:22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2:22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2:22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2:22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2:22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2:22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2:22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2:22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2:22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2:22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2:22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2:22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2:22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2:22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2:22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2:22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2:22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2:22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2:22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2:22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2:22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2:22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2:22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2:22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2:22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2:22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2:22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2:22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2:22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2:22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2:22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2:22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2:22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2:22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2:22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2:22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2:22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2:22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2:22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2:22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2:22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2:22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2:22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2:22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2:22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2:22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2:22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2:22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2:22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2:22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2:22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2:22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2:22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2:22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2:22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2:22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2:22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2:22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2:22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2:22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2:22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2:22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2:22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2:22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2:22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2:22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2:22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2:22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2:22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2:22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2:22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2:22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2:22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2:22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2:22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2:22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2:22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2:22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2:22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2:22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2:22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2:22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2:22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2:22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2:22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2:22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2:22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2:22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2:22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2:22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2:22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2:22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2:22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2:22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2:22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2:22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2:22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2:22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2:22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2:22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2:22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2:22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2:22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2:22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2:22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2:22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2:22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2:22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2:22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2:22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2:22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2:22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2:22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2:22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2:22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2:22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2:22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2:22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2:22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2:22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2:22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2:22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2:22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2:22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2:22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2:22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2:22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2:22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2:22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2:22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2:22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2:22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2:22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2:22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2:22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2:22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2:22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2:22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2:22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2:22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2:22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2:22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2:22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2:22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2:22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2:22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2:22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2:22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2:22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2:22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2:22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2:22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2:22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2:22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2:22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2:22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2:22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2:22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2:22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2:22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2:22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2:22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2:22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2:22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2:22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2:22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2:22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2:22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2:22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2:22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2:22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2:22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2:22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2:22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2:22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2:22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2:22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2:22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2:22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2:22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2:22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2:22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2:22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2:22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2:22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2:22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2:22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2:22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2:22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2:22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2:22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2:22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2:22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2:22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2:22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2:22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2:22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2:22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2:22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2:22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2:22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2:22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2:22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2:22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2:22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2:22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2:22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2:22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2:22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2:22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2:22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2:22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2:22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2:22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2:22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2:22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2:22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2:22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2:22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2:22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2:22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2:22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2:22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2:22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2:22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2:22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2:22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2:22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2:22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2:22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2:22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2:22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2:22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2:22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2:22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2:22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2:22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2:22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2:22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2:22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2:22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2:22" x14ac:dyDescent="0.2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2:22" x14ac:dyDescent="0.2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2:22" x14ac:dyDescent="0.2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2:22" x14ac:dyDescent="0.2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2:22" x14ac:dyDescent="0.2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2:22" x14ac:dyDescent="0.2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2:22" x14ac:dyDescent="0.2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2:22" x14ac:dyDescent="0.2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2:22" x14ac:dyDescent="0.2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2:22" x14ac:dyDescent="0.2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2:22" x14ac:dyDescent="0.2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2:22" x14ac:dyDescent="0.2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2:22" x14ac:dyDescent="0.2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2:22" x14ac:dyDescent="0.2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2:22" x14ac:dyDescent="0.2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2:22" x14ac:dyDescent="0.2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2:22" x14ac:dyDescent="0.2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2:22" x14ac:dyDescent="0.2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mergeCells count="4">
    <mergeCell ref="B3:H3"/>
    <mergeCell ref="I3:O3"/>
    <mergeCell ref="P3:V3"/>
    <mergeCell ref="B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34"/>
  <sheetViews>
    <sheetView tabSelected="1" workbookViewId="0">
      <selection activeCell="E6" sqref="E6"/>
    </sheetView>
  </sheetViews>
  <sheetFormatPr defaultColWidth="12.5703125" defaultRowHeight="15.75" customHeight="1" x14ac:dyDescent="0.2"/>
  <sheetData>
    <row r="1" spans="1:16" x14ac:dyDescent="0.2">
      <c r="A1" s="18" t="s">
        <v>28</v>
      </c>
      <c r="B1" s="18" t="s">
        <v>36</v>
      </c>
    </row>
    <row r="4" spans="1:16" x14ac:dyDescent="0.2">
      <c r="B4" s="39">
        <v>2019</v>
      </c>
      <c r="C4" s="36"/>
      <c r="D4" s="36"/>
      <c r="E4" s="36"/>
      <c r="F4" s="36"/>
      <c r="G4" s="40">
        <v>2020</v>
      </c>
      <c r="H4" s="36"/>
      <c r="I4" s="36"/>
      <c r="J4" s="36"/>
      <c r="K4" s="36"/>
      <c r="L4" s="41">
        <v>2021</v>
      </c>
      <c r="M4" s="36"/>
      <c r="N4" s="36"/>
      <c r="O4" s="36"/>
      <c r="P4" s="36"/>
    </row>
    <row r="5" spans="1:16" x14ac:dyDescent="0.2">
      <c r="B5" s="20" t="s">
        <v>5</v>
      </c>
      <c r="C5" s="20" t="s">
        <v>7</v>
      </c>
      <c r="D5" s="20" t="s">
        <v>37</v>
      </c>
      <c r="E5" s="20" t="s">
        <v>33</v>
      </c>
      <c r="F5" s="21" t="s">
        <v>34</v>
      </c>
      <c r="G5" s="20" t="s">
        <v>5</v>
      </c>
      <c r="H5" s="20" t="s">
        <v>7</v>
      </c>
      <c r="I5" s="20" t="s">
        <v>37</v>
      </c>
      <c r="J5" s="20" t="s">
        <v>33</v>
      </c>
      <c r="K5" s="21" t="s">
        <v>34</v>
      </c>
      <c r="L5" s="20" t="s">
        <v>5</v>
      </c>
      <c r="M5" s="20" t="s">
        <v>7</v>
      </c>
      <c r="N5" s="20" t="s">
        <v>37</v>
      </c>
      <c r="O5" s="20" t="s">
        <v>33</v>
      </c>
      <c r="P5" s="21" t="s">
        <v>34</v>
      </c>
    </row>
    <row r="6" spans="1:16" x14ac:dyDescent="0.2">
      <c r="A6" s="18" t="s">
        <v>8</v>
      </c>
      <c r="B6" s="30">
        <v>372.2</v>
      </c>
      <c r="C6" s="23">
        <v>303.02</v>
      </c>
      <c r="D6" s="31">
        <f t="shared" ref="D6:D12" si="0">C6/B6</f>
        <v>0.81413218699623857</v>
      </c>
      <c r="E6" s="27">
        <f>15+6.36+14.09</f>
        <v>35.450000000000003</v>
      </c>
      <c r="F6" s="26">
        <f t="shared" ref="F6:F17" si="1">SUM(C6+E6)</f>
        <v>338.46999999999997</v>
      </c>
      <c r="G6" s="30">
        <v>281.3</v>
      </c>
      <c r="H6" s="23">
        <v>248.49</v>
      </c>
      <c r="I6" s="31">
        <f t="shared" ref="I6:I10" si="2">H6/G6</f>
        <v>0.88336295769640949</v>
      </c>
      <c r="J6" s="27">
        <f>15+5.27+11.99</f>
        <v>32.26</v>
      </c>
      <c r="K6" s="26">
        <f t="shared" ref="K6:K17" si="3">SUM(H6+J6)</f>
        <v>280.75</v>
      </c>
      <c r="L6" s="30">
        <v>235</v>
      </c>
      <c r="M6" s="23">
        <v>217.75</v>
      </c>
      <c r="N6" s="31">
        <f t="shared" ref="N6:N11" si="4">M6/L6</f>
        <v>0.92659574468085104</v>
      </c>
      <c r="O6" s="27">
        <f>15+4.66+10.59</f>
        <v>30.25</v>
      </c>
      <c r="P6" s="26">
        <f t="shared" ref="P6:P17" si="5">SUM(M6+O6)</f>
        <v>248</v>
      </c>
    </row>
    <row r="7" spans="1:16" x14ac:dyDescent="0.2">
      <c r="A7" s="18" t="s">
        <v>9</v>
      </c>
      <c r="B7" s="30">
        <v>947.7</v>
      </c>
      <c r="C7" s="23">
        <v>706.57</v>
      </c>
      <c r="D7" s="31">
        <f t="shared" si="0"/>
        <v>0.74556294185923822</v>
      </c>
      <c r="E7" s="27">
        <f>15+14.43+31.97</f>
        <v>61.4</v>
      </c>
      <c r="F7" s="26">
        <f t="shared" si="1"/>
        <v>767.97</v>
      </c>
      <c r="G7" s="30">
        <v>470.5</v>
      </c>
      <c r="H7" s="23">
        <v>361.9</v>
      </c>
      <c r="I7" s="31">
        <f t="shared" si="2"/>
        <v>0.76918172157279485</v>
      </c>
      <c r="J7" s="27">
        <f>15+7.54+17.15</f>
        <v>39.69</v>
      </c>
      <c r="K7" s="26">
        <f t="shared" si="3"/>
        <v>401.59</v>
      </c>
      <c r="L7" s="30">
        <v>221</v>
      </c>
      <c r="M7" s="23">
        <v>183.28</v>
      </c>
      <c r="N7" s="31">
        <f t="shared" si="4"/>
        <v>0.82932126696832575</v>
      </c>
      <c r="O7" s="27">
        <f>15+3.54+8.04</f>
        <v>26.58</v>
      </c>
      <c r="P7" s="26">
        <f t="shared" si="5"/>
        <v>209.86</v>
      </c>
    </row>
    <row r="8" spans="1:16" x14ac:dyDescent="0.2">
      <c r="A8" s="18" t="s">
        <v>10</v>
      </c>
      <c r="B8" s="30">
        <v>812.7</v>
      </c>
      <c r="C8" s="23">
        <v>604.66999999999996</v>
      </c>
      <c r="D8" s="31">
        <f t="shared" si="0"/>
        <v>0.74402608588655095</v>
      </c>
      <c r="E8" s="27">
        <f>15+12.39+27.45</f>
        <v>54.84</v>
      </c>
      <c r="F8" s="26">
        <f t="shared" si="1"/>
        <v>659.51</v>
      </c>
      <c r="G8" s="30">
        <v>364.9</v>
      </c>
      <c r="H8" s="23">
        <v>264.24</v>
      </c>
      <c r="I8" s="31">
        <f t="shared" si="2"/>
        <v>0.72414360098657171</v>
      </c>
      <c r="J8" s="27">
        <f>15+5.58+12.7</f>
        <v>33.28</v>
      </c>
      <c r="K8" s="26">
        <f t="shared" si="3"/>
        <v>297.52</v>
      </c>
      <c r="L8" s="30">
        <v>148.4</v>
      </c>
      <c r="M8" s="23">
        <v>111.68</v>
      </c>
      <c r="N8" s="31">
        <f t="shared" si="4"/>
        <v>0.75256064690026958</v>
      </c>
      <c r="O8" s="27">
        <f>15+2.53+5.77</f>
        <v>23.3</v>
      </c>
      <c r="P8" s="26">
        <f t="shared" si="5"/>
        <v>134.98000000000002</v>
      </c>
    </row>
    <row r="9" spans="1:16" x14ac:dyDescent="0.2">
      <c r="A9" s="18" t="s">
        <v>11</v>
      </c>
      <c r="B9" s="30">
        <f>99.4+168.3</f>
        <v>267.70000000000005</v>
      </c>
      <c r="C9" s="27">
        <f>80.54+152.25</f>
        <v>232.79000000000002</v>
      </c>
      <c r="D9" s="31">
        <f t="shared" si="0"/>
        <v>0.86959282779230473</v>
      </c>
      <c r="E9" s="27">
        <f>2.07+4.95+10.98+12.93</f>
        <v>30.93</v>
      </c>
      <c r="F9" s="26">
        <f t="shared" si="1"/>
        <v>263.72000000000003</v>
      </c>
      <c r="G9" s="30">
        <v>39.700000000000003</v>
      </c>
      <c r="H9" s="23">
        <v>37.659999999999997</v>
      </c>
      <c r="I9" s="31">
        <f t="shared" si="2"/>
        <v>0.94861460957178823</v>
      </c>
      <c r="J9" s="27">
        <f>15+1.05+2.4</f>
        <v>18.45</v>
      </c>
      <c r="K9" s="26">
        <f t="shared" si="3"/>
        <v>56.11</v>
      </c>
      <c r="L9" s="30">
        <v>61.3</v>
      </c>
      <c r="M9" s="23">
        <v>57.44</v>
      </c>
      <c r="N9" s="31">
        <f t="shared" si="4"/>
        <v>0.93703099510603594</v>
      </c>
      <c r="O9" s="27">
        <f>15+1.45+3.3</f>
        <v>19.75</v>
      </c>
      <c r="P9" s="26">
        <f t="shared" si="5"/>
        <v>77.19</v>
      </c>
    </row>
    <row r="10" spans="1:16" x14ac:dyDescent="0.2">
      <c r="A10" s="18" t="s">
        <v>12</v>
      </c>
      <c r="B10" s="30">
        <v>35.9</v>
      </c>
      <c r="C10" s="23">
        <v>27.95</v>
      </c>
      <c r="D10" s="31">
        <f t="shared" si="0"/>
        <v>0.7785515320334262</v>
      </c>
      <c r="E10" s="27">
        <f>15+0.86+1.91</f>
        <v>17.77</v>
      </c>
      <c r="F10" s="26">
        <f t="shared" si="1"/>
        <v>45.72</v>
      </c>
      <c r="G10" s="30">
        <v>2.2999999999999998</v>
      </c>
      <c r="H10" s="23">
        <v>1.75</v>
      </c>
      <c r="I10" s="31">
        <f t="shared" si="2"/>
        <v>0.76086956521739135</v>
      </c>
      <c r="J10" s="27">
        <f>15+0.34+0.76</f>
        <v>16.100000000000001</v>
      </c>
      <c r="K10" s="26">
        <f t="shared" si="3"/>
        <v>17.850000000000001</v>
      </c>
      <c r="L10" s="30">
        <v>1.2</v>
      </c>
      <c r="M10" s="23">
        <v>0.96</v>
      </c>
      <c r="N10" s="31">
        <f t="shared" si="4"/>
        <v>0.8</v>
      </c>
      <c r="O10" s="27">
        <f t="shared" ref="O10:O11" si="6">15+0.32+0.73</f>
        <v>16.05</v>
      </c>
      <c r="P10" s="26">
        <f t="shared" si="5"/>
        <v>17.010000000000002</v>
      </c>
    </row>
    <row r="11" spans="1:16" x14ac:dyDescent="0.2">
      <c r="A11" s="18" t="s">
        <v>13</v>
      </c>
      <c r="B11" s="30">
        <v>7.4</v>
      </c>
      <c r="C11" s="23">
        <v>5.76</v>
      </c>
      <c r="D11" s="31">
        <f t="shared" si="0"/>
        <v>0.77837837837837831</v>
      </c>
      <c r="E11" s="27">
        <f>15-34.7-0.28-0.62</f>
        <v>-20.600000000000005</v>
      </c>
      <c r="F11" s="26">
        <f t="shared" si="1"/>
        <v>-14.840000000000005</v>
      </c>
      <c r="G11" s="30">
        <v>0</v>
      </c>
      <c r="H11" s="23">
        <v>0</v>
      </c>
      <c r="I11" s="31">
        <f t="shared" ref="I11:I13" si="7">IF(H11=0,0,H11/G11)</f>
        <v>0</v>
      </c>
      <c r="J11" s="27">
        <f>15-90.41-1.51-3.43</f>
        <v>-80.350000000000009</v>
      </c>
      <c r="K11" s="26">
        <f t="shared" si="3"/>
        <v>-80.350000000000009</v>
      </c>
      <c r="L11" s="30">
        <v>1.2</v>
      </c>
      <c r="M11" s="23">
        <v>0.96</v>
      </c>
      <c r="N11" s="31">
        <f t="shared" si="4"/>
        <v>0.8</v>
      </c>
      <c r="O11" s="27">
        <f t="shared" si="6"/>
        <v>16.05</v>
      </c>
      <c r="P11" s="26">
        <f t="shared" si="5"/>
        <v>17.010000000000002</v>
      </c>
    </row>
    <row r="12" spans="1:16" x14ac:dyDescent="0.2">
      <c r="A12" s="18" t="s">
        <v>14</v>
      </c>
      <c r="B12" s="30">
        <v>3.6</v>
      </c>
      <c r="C12" s="23">
        <v>2.8</v>
      </c>
      <c r="D12" s="31">
        <f t="shared" si="0"/>
        <v>0.77777777777777768</v>
      </c>
      <c r="E12" s="27">
        <f>15+0.36+0.79</f>
        <v>16.149999999999999</v>
      </c>
      <c r="F12" s="26">
        <f t="shared" si="1"/>
        <v>18.95</v>
      </c>
      <c r="G12" s="30">
        <v>0</v>
      </c>
      <c r="H12" s="23">
        <v>0</v>
      </c>
      <c r="I12" s="31">
        <f t="shared" si="7"/>
        <v>0</v>
      </c>
      <c r="J12" s="27">
        <f t="shared" ref="J12:J13" si="8">15+0.3+0.69</f>
        <v>15.99</v>
      </c>
      <c r="K12" s="26">
        <f t="shared" si="3"/>
        <v>15.99</v>
      </c>
      <c r="L12" s="30">
        <v>0</v>
      </c>
      <c r="M12" s="23">
        <v>0</v>
      </c>
      <c r="N12" s="31">
        <f>IF(M12=0,0,M12/L12)</f>
        <v>0</v>
      </c>
      <c r="O12" s="27">
        <f>15+0.3+0.69</f>
        <v>15.99</v>
      </c>
      <c r="P12" s="26">
        <f t="shared" si="5"/>
        <v>15.99</v>
      </c>
    </row>
    <row r="13" spans="1:16" x14ac:dyDescent="0.2">
      <c r="A13" s="18" t="s">
        <v>15</v>
      </c>
      <c r="B13" s="30">
        <v>0</v>
      </c>
      <c r="C13" s="23">
        <v>0</v>
      </c>
      <c r="D13" s="31">
        <f t="shared" ref="D13:D14" si="9">IF(C13=0,0,C13/B13)</f>
        <v>0</v>
      </c>
      <c r="E13" s="27">
        <f>15+0.3+0.66</f>
        <v>15.96</v>
      </c>
      <c r="F13" s="26">
        <f t="shared" si="1"/>
        <v>15.96</v>
      </c>
      <c r="G13" s="30">
        <v>0</v>
      </c>
      <c r="H13" s="23">
        <v>0</v>
      </c>
      <c r="I13" s="31">
        <f t="shared" si="7"/>
        <v>0</v>
      </c>
      <c r="J13" s="27">
        <f t="shared" si="8"/>
        <v>15.99</v>
      </c>
      <c r="K13" s="26">
        <f t="shared" si="3"/>
        <v>15.99</v>
      </c>
      <c r="L13" s="30">
        <v>1.2</v>
      </c>
      <c r="M13" s="23">
        <v>0.96</v>
      </c>
      <c r="N13" s="31">
        <f t="shared" ref="N13:N17" si="10">M13/L13</f>
        <v>0.8</v>
      </c>
      <c r="O13" s="27">
        <f>15+0.32+0.73</f>
        <v>16.05</v>
      </c>
      <c r="P13" s="26">
        <f t="shared" si="5"/>
        <v>17.010000000000002</v>
      </c>
    </row>
    <row r="14" spans="1:16" x14ac:dyDescent="0.2">
      <c r="A14" s="18" t="s">
        <v>16</v>
      </c>
      <c r="B14" s="30">
        <v>0</v>
      </c>
      <c r="C14" s="23">
        <v>0</v>
      </c>
      <c r="D14" s="31">
        <f t="shared" si="9"/>
        <v>0</v>
      </c>
      <c r="E14" s="23">
        <v>15.96</v>
      </c>
      <c r="F14" s="26">
        <f t="shared" si="1"/>
        <v>15.96</v>
      </c>
      <c r="G14" s="30">
        <v>1.2</v>
      </c>
      <c r="H14" s="23">
        <v>0.91</v>
      </c>
      <c r="I14" s="31">
        <f t="shared" ref="I14:I17" si="11">H14/G14</f>
        <v>0.75833333333333341</v>
      </c>
      <c r="J14" s="27">
        <f>15+0.32+0.73</f>
        <v>16.05</v>
      </c>
      <c r="K14" s="26">
        <f t="shared" si="3"/>
        <v>16.96</v>
      </c>
      <c r="L14" s="30">
        <v>2.4</v>
      </c>
      <c r="M14" s="23">
        <v>1.93</v>
      </c>
      <c r="N14" s="31">
        <f t="shared" si="10"/>
        <v>0.8041666666666667</v>
      </c>
      <c r="O14" s="27">
        <f>15+0.34+0.77</f>
        <v>16.11</v>
      </c>
      <c r="P14" s="26">
        <f t="shared" si="5"/>
        <v>18.04</v>
      </c>
    </row>
    <row r="15" spans="1:16" x14ac:dyDescent="0.2">
      <c r="A15" s="18" t="s">
        <v>17</v>
      </c>
      <c r="B15" s="30">
        <v>120</v>
      </c>
      <c r="C15" s="23">
        <v>93.42</v>
      </c>
      <c r="D15" s="31">
        <f t="shared" ref="D15:D17" si="12">C15/B15</f>
        <v>0.77849999999999997</v>
      </c>
      <c r="E15" s="27">
        <f>15+2.17+4.81</f>
        <v>21.98</v>
      </c>
      <c r="F15" s="26">
        <f t="shared" si="1"/>
        <v>115.4</v>
      </c>
      <c r="G15" s="30">
        <v>14.3</v>
      </c>
      <c r="H15" s="23">
        <v>10.85</v>
      </c>
      <c r="I15" s="31">
        <f t="shared" si="11"/>
        <v>0.75874125874125864</v>
      </c>
      <c r="J15" s="27">
        <f>15+0.52+1.18</f>
        <v>16.7</v>
      </c>
      <c r="K15" s="26">
        <f t="shared" si="3"/>
        <v>27.549999999999997</v>
      </c>
      <c r="L15" s="30">
        <v>3.5</v>
      </c>
      <c r="M15" s="23">
        <v>2.81</v>
      </c>
      <c r="N15" s="31">
        <f t="shared" si="10"/>
        <v>0.80285714285714282</v>
      </c>
      <c r="O15" s="27">
        <f>15+0.36+0.81</f>
        <v>16.169999999999998</v>
      </c>
      <c r="P15" s="26">
        <f t="shared" si="5"/>
        <v>18.979999999999997</v>
      </c>
    </row>
    <row r="16" spans="1:16" x14ac:dyDescent="0.2">
      <c r="A16" s="18" t="s">
        <v>18</v>
      </c>
      <c r="B16" s="32">
        <f>149.7+232.3</f>
        <v>382</v>
      </c>
      <c r="C16" s="27">
        <f>116.54+176.3</f>
        <v>292.84000000000003</v>
      </c>
      <c r="D16" s="31">
        <f t="shared" si="12"/>
        <v>0.76659685863874349</v>
      </c>
      <c r="E16" s="27">
        <f>3.62+11.38+6.15+13.63</f>
        <v>34.78</v>
      </c>
      <c r="F16" s="26">
        <f t="shared" si="1"/>
        <v>327.62</v>
      </c>
      <c r="G16" s="32">
        <f>15.3+71.9</f>
        <v>87.2</v>
      </c>
      <c r="H16" s="27">
        <f>11.61+57.68</f>
        <v>69.289999999999992</v>
      </c>
      <c r="I16" s="31">
        <f t="shared" si="11"/>
        <v>0.79461009174311914</v>
      </c>
      <c r="J16" s="27">
        <f>2.59+12.41+1.68+3.84</f>
        <v>20.52</v>
      </c>
      <c r="K16" s="26">
        <f t="shared" si="3"/>
        <v>89.809999999999988</v>
      </c>
      <c r="L16" s="32">
        <f>15.4+61.8</f>
        <v>77.2</v>
      </c>
      <c r="M16" s="27">
        <f>12.35+58.82</f>
        <v>71.17</v>
      </c>
      <c r="N16" s="31">
        <f t="shared" si="10"/>
        <v>0.92189119170984457</v>
      </c>
      <c r="O16" s="27">
        <f>3+12+1.73+3.92</f>
        <v>20.65</v>
      </c>
      <c r="P16" s="26">
        <f t="shared" si="5"/>
        <v>91.82</v>
      </c>
    </row>
    <row r="17" spans="1:16" x14ac:dyDescent="0.2">
      <c r="A17" s="18" t="s">
        <v>19</v>
      </c>
      <c r="B17" s="30">
        <v>695</v>
      </c>
      <c r="C17" s="23">
        <v>526.94000000000005</v>
      </c>
      <c r="D17" s="31">
        <f t="shared" si="12"/>
        <v>0.75818705035971234</v>
      </c>
      <c r="E17" s="27">
        <f>15+10.84+24.01</f>
        <v>49.85</v>
      </c>
      <c r="F17" s="26">
        <f t="shared" si="1"/>
        <v>576.79000000000008</v>
      </c>
      <c r="G17" s="30">
        <v>247.1</v>
      </c>
      <c r="H17" s="23">
        <v>215.33</v>
      </c>
      <c r="I17" s="31">
        <f t="shared" si="11"/>
        <v>0.87142857142857155</v>
      </c>
      <c r="J17" s="27">
        <f>15+4.61+10.48</f>
        <v>30.09</v>
      </c>
      <c r="K17" s="26">
        <f t="shared" si="3"/>
        <v>245.42000000000002</v>
      </c>
      <c r="L17" s="30">
        <v>261.10000000000002</v>
      </c>
      <c r="M17" s="23">
        <v>282.74</v>
      </c>
      <c r="N17" s="31">
        <f t="shared" si="10"/>
        <v>1.0828801225584066</v>
      </c>
      <c r="O17" s="27">
        <f>15+5.95+13.55</f>
        <v>34.5</v>
      </c>
      <c r="P17" s="26">
        <f t="shared" si="5"/>
        <v>317.24</v>
      </c>
    </row>
    <row r="21" spans="1:16" x14ac:dyDescent="0.2">
      <c r="B21" s="42" t="s">
        <v>35</v>
      </c>
      <c r="C21" s="36"/>
    </row>
    <row r="22" spans="1:16" x14ac:dyDescent="0.2">
      <c r="B22" s="20" t="s">
        <v>5</v>
      </c>
      <c r="C22" s="18" t="s">
        <v>7</v>
      </c>
    </row>
    <row r="23" spans="1:16" x14ac:dyDescent="0.2">
      <c r="A23" s="18" t="s">
        <v>8</v>
      </c>
      <c r="B23" s="33">
        <f t="shared" ref="B23:B34" si="13">(B6+G6+L6)/3</f>
        <v>296.16666666666669</v>
      </c>
      <c r="C23" s="34">
        <f t="shared" ref="C23:C34" si="14">(F6+K6+P6)</f>
        <v>867.22</v>
      </c>
    </row>
    <row r="24" spans="1:16" x14ac:dyDescent="0.2">
      <c r="A24" s="18" t="s">
        <v>9</v>
      </c>
      <c r="B24" s="33">
        <f t="shared" si="13"/>
        <v>546.4</v>
      </c>
      <c r="C24" s="34">
        <f t="shared" si="14"/>
        <v>1379.42</v>
      </c>
    </row>
    <row r="25" spans="1:16" x14ac:dyDescent="0.2">
      <c r="A25" s="18" t="s">
        <v>10</v>
      </c>
      <c r="B25" s="33">
        <f t="shared" si="13"/>
        <v>442</v>
      </c>
      <c r="C25" s="34">
        <f t="shared" si="14"/>
        <v>1092.01</v>
      </c>
    </row>
    <row r="26" spans="1:16" x14ac:dyDescent="0.2">
      <c r="A26" s="18" t="s">
        <v>11</v>
      </c>
      <c r="B26" s="33">
        <f t="shared" si="13"/>
        <v>122.90000000000002</v>
      </c>
      <c r="C26" s="34">
        <f t="shared" si="14"/>
        <v>397.02000000000004</v>
      </c>
    </row>
    <row r="27" spans="1:16" x14ac:dyDescent="0.2">
      <c r="A27" s="18" t="s">
        <v>12</v>
      </c>
      <c r="B27" s="33">
        <f t="shared" si="13"/>
        <v>13.133333333333333</v>
      </c>
      <c r="C27" s="34">
        <f t="shared" si="14"/>
        <v>80.58</v>
      </c>
    </row>
    <row r="28" spans="1:16" x14ac:dyDescent="0.2">
      <c r="A28" s="18" t="s">
        <v>13</v>
      </c>
      <c r="B28" s="33">
        <f t="shared" si="13"/>
        <v>2.8666666666666667</v>
      </c>
      <c r="C28" s="34">
        <f t="shared" si="14"/>
        <v>-78.180000000000007</v>
      </c>
    </row>
    <row r="29" spans="1:16" x14ac:dyDescent="0.2">
      <c r="A29" s="18" t="s">
        <v>14</v>
      </c>
      <c r="B29" s="33">
        <f t="shared" si="13"/>
        <v>1.2</v>
      </c>
      <c r="C29" s="34">
        <f t="shared" si="14"/>
        <v>50.93</v>
      </c>
    </row>
    <row r="30" spans="1:16" x14ac:dyDescent="0.2">
      <c r="A30" s="18" t="s">
        <v>15</v>
      </c>
      <c r="B30" s="33">
        <f t="shared" si="13"/>
        <v>0.39999999999999997</v>
      </c>
      <c r="C30" s="34">
        <f t="shared" si="14"/>
        <v>48.960000000000008</v>
      </c>
    </row>
    <row r="31" spans="1:16" x14ac:dyDescent="0.2">
      <c r="A31" s="18" t="s">
        <v>16</v>
      </c>
      <c r="B31" s="33">
        <f t="shared" si="13"/>
        <v>1.2</v>
      </c>
      <c r="C31" s="34">
        <f t="shared" si="14"/>
        <v>50.96</v>
      </c>
    </row>
    <row r="32" spans="1:16" x14ac:dyDescent="0.2">
      <c r="A32" s="18" t="s">
        <v>17</v>
      </c>
      <c r="B32" s="33">
        <f t="shared" si="13"/>
        <v>45.933333333333337</v>
      </c>
      <c r="C32" s="34">
        <f t="shared" si="14"/>
        <v>161.92999999999998</v>
      </c>
    </row>
    <row r="33" spans="1:3" x14ac:dyDescent="0.2">
      <c r="A33" s="18" t="s">
        <v>18</v>
      </c>
      <c r="B33" s="33">
        <f t="shared" si="13"/>
        <v>182.13333333333333</v>
      </c>
      <c r="C33" s="34">
        <f t="shared" si="14"/>
        <v>509.25</v>
      </c>
    </row>
    <row r="34" spans="1:3" x14ac:dyDescent="0.2">
      <c r="A34" s="18" t="s">
        <v>19</v>
      </c>
      <c r="B34" s="33">
        <f t="shared" si="13"/>
        <v>401.06666666666666</v>
      </c>
      <c r="C34" s="34">
        <f t="shared" si="14"/>
        <v>1139.45</v>
      </c>
    </row>
  </sheetData>
  <mergeCells count="4">
    <mergeCell ref="B4:F4"/>
    <mergeCell ref="G4:K4"/>
    <mergeCell ref="L4:P4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Reports</vt:lpstr>
      <vt:lpstr>Electric_Data</vt:lpstr>
      <vt:lpstr>Gas_Data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Marinello</cp:lastModifiedBy>
  <dcterms:created xsi:type="dcterms:W3CDTF">2022-03-28T18:10:11Z</dcterms:created>
  <dcterms:modified xsi:type="dcterms:W3CDTF">2022-03-28T18:12:47Z</dcterms:modified>
</cp:coreProperties>
</file>