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uzan\OneDrive\Documents\CBEA\Hyslop Report\Reports\"/>
    </mc:Choice>
  </mc:AlternateContent>
  <xr:revisionPtr revIDLastSave="0" documentId="13_ncr:1_{767591EE-2165-4711-8C23-F0878F89A424}" xr6:coauthVersionLast="47" xr6:coauthVersionMax="47" xr10:uidLastSave="{00000000-0000-0000-0000-000000000000}"/>
  <bookViews>
    <workbookView xWindow="-96" yWindow="-96" windowWidth="23232" windowHeight="12432" firstSheet="2" activeTab="4" xr2:uid="{00000000-000D-0000-FFFF-FFFF00000000}"/>
  </bookViews>
  <sheets>
    <sheet name="Contacts " sheetId="10" r:id="rId1"/>
    <sheet name="2021 Utility" sheetId="14" r:id="rId2"/>
    <sheet name="EEM Summary" sheetId="2" r:id="rId3"/>
    <sheet name="EEM #1 Lighting Upgrade  " sheetId="3" r:id="rId4"/>
    <sheet name="EEM #2  Occupancy Sensors" sheetId="6" r:id="rId5"/>
    <sheet name="EEM #3 Building Insulation" sheetId="5" r:id="rId6"/>
    <sheet name="EEM #4 Programmable Tstats" sheetId="9" r:id="rId7"/>
    <sheet name="EEM #5 Premium Eff Motors" sheetId="12" r:id="rId8"/>
    <sheet name="2021 Natural Gas" sheetId="15" r:id="rId9"/>
    <sheet name="2021 Electrical" sheetId="13" r:id="rId10"/>
  </sheets>
  <externalReferences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gXHsV+bcyvPEUekFEXUK6gzua0bg=="/>
    </ext>
  </extLst>
</workbook>
</file>

<file path=xl/calcChain.xml><?xml version="1.0" encoding="utf-8"?>
<calcChain xmlns="http://schemas.openxmlformats.org/spreadsheetml/2006/main">
  <c r="O11" i="14" l="1"/>
  <c r="J19" i="14"/>
  <c r="G33" i="3"/>
  <c r="G23" i="2"/>
  <c r="E23" i="2"/>
  <c r="F6" i="12"/>
  <c r="F6" i="9"/>
  <c r="L37" i="5"/>
  <c r="G34" i="3"/>
  <c r="H23" i="15"/>
  <c r="G23" i="15"/>
  <c r="E29" i="15" s="1"/>
  <c r="F23" i="15"/>
  <c r="E23" i="15"/>
  <c r="E27" i="15" s="1"/>
  <c r="J36" i="14"/>
  <c r="K36" i="14" s="1"/>
  <c r="I36" i="14"/>
  <c r="J35" i="14"/>
  <c r="H35" i="14"/>
  <c r="G35" i="14"/>
  <c r="G37" i="14" s="1"/>
  <c r="E24" i="2" s="1"/>
  <c r="J34" i="14"/>
  <c r="K34" i="14" s="1"/>
  <c r="I34" i="14"/>
  <c r="J33" i="14"/>
  <c r="K33" i="14" s="1"/>
  <c r="I33" i="14"/>
  <c r="J32" i="14"/>
  <c r="K32" i="14" s="1"/>
  <c r="I32" i="14"/>
  <c r="J31" i="14"/>
  <c r="K31" i="14" s="1"/>
  <c r="I31" i="14"/>
  <c r="J30" i="14"/>
  <c r="K30" i="14" s="1"/>
  <c r="I30" i="14"/>
  <c r="J29" i="14"/>
  <c r="K29" i="14" s="1"/>
  <c r="I29" i="14"/>
  <c r="J28" i="14"/>
  <c r="K28" i="14" s="1"/>
  <c r="I28" i="14"/>
  <c r="J27" i="14"/>
  <c r="K27" i="14" s="1"/>
  <c r="I27" i="14"/>
  <c r="J26" i="14"/>
  <c r="K26" i="14" s="1"/>
  <c r="I26" i="14"/>
  <c r="J25" i="14"/>
  <c r="I25" i="14"/>
  <c r="L19" i="14"/>
  <c r="K19" i="14"/>
  <c r="H19" i="14"/>
  <c r="I19" i="14" s="1"/>
  <c r="G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L18" i="13"/>
  <c r="L20" i="13" s="1"/>
  <c r="K18" i="13"/>
  <c r="P5" i="13" s="1"/>
  <c r="P6" i="13" s="1"/>
  <c r="P9" i="13" s="1"/>
  <c r="I6" i="12"/>
  <c r="F13" i="12" s="1"/>
  <c r="N20" i="12" s="1"/>
  <c r="N28" i="12"/>
  <c r="K11" i="2" s="1"/>
  <c r="F10" i="12" l="1"/>
  <c r="N19" i="12" s="1"/>
  <c r="N21" i="12" s="1"/>
  <c r="G11" i="2" s="1"/>
  <c r="K35" i="14"/>
  <c r="J37" i="14"/>
  <c r="E28" i="15"/>
  <c r="I35" i="14"/>
  <c r="K25" i="14"/>
  <c r="H37" i="14"/>
  <c r="I37" i="14" s="1"/>
  <c r="K37" i="14" l="1"/>
  <c r="G24" i="2" s="1"/>
  <c r="N25" i="9"/>
  <c r="K10" i="2" s="1"/>
  <c r="N22" i="9"/>
  <c r="F10" i="9"/>
  <c r="F12" i="9" s="1"/>
  <c r="N18" i="9" l="1"/>
  <c r="G10" i="2" s="1"/>
  <c r="K9" i="2" l="1"/>
  <c r="G9" i="2"/>
  <c r="L35" i="5"/>
  <c r="L34" i="5"/>
  <c r="L36" i="5"/>
  <c r="J31" i="5"/>
  <c r="E26" i="3"/>
  <c r="K9" i="3"/>
  <c r="I21" i="6"/>
  <c r="I20" i="6"/>
  <c r="H19" i="6"/>
  <c r="I19" i="6" s="1"/>
  <c r="I18" i="6"/>
  <c r="I17" i="6"/>
  <c r="I16" i="6"/>
  <c r="I15" i="6"/>
  <c r="I14" i="6"/>
  <c r="I13" i="6"/>
  <c r="I12" i="6"/>
  <c r="I11" i="6"/>
  <c r="H10" i="6"/>
  <c r="I10" i="6" s="1"/>
  <c r="L36" i="6"/>
  <c r="E25" i="2"/>
  <c r="J24" i="2" l="1"/>
  <c r="I23" i="6"/>
  <c r="I24" i="6" l="1"/>
  <c r="L29" i="6" s="1"/>
  <c r="I25" i="6"/>
  <c r="L30" i="6" s="1"/>
  <c r="J23" i="2"/>
  <c r="N22" i="12" s="1"/>
  <c r="P30" i="6"/>
  <c r="L38" i="6" l="1"/>
  <c r="K8" i="2"/>
  <c r="L31" i="6"/>
  <c r="J11" i="2"/>
  <c r="L11" i="2" s="1"/>
  <c r="N27" i="12"/>
  <c r="N29" i="12" s="1"/>
  <c r="N19" i="9"/>
  <c r="L32" i="6" l="1"/>
  <c r="G8" i="2"/>
  <c r="N24" i="9"/>
  <c r="N26" i="9" s="1"/>
  <c r="J10" i="2"/>
  <c r="L10" i="2" s="1"/>
  <c r="L42" i="5"/>
  <c r="L44" i="5" s="1"/>
  <c r="J9" i="2"/>
  <c r="E27" i="3"/>
  <c r="M22" i="3"/>
  <c r="K22" i="3"/>
  <c r="F22" i="3"/>
  <c r="M21" i="3"/>
  <c r="K21" i="3"/>
  <c r="F21" i="3"/>
  <c r="M20" i="3"/>
  <c r="K20" i="3"/>
  <c r="F20" i="3"/>
  <c r="M19" i="3"/>
  <c r="K19" i="3"/>
  <c r="F19" i="3"/>
  <c r="M18" i="3"/>
  <c r="K18" i="3"/>
  <c r="F18" i="3"/>
  <c r="J17" i="3"/>
  <c r="M17" i="3" s="1"/>
  <c r="E17" i="3"/>
  <c r="F17" i="3" s="1"/>
  <c r="M16" i="3"/>
  <c r="K16" i="3"/>
  <c r="F16" i="3"/>
  <c r="M15" i="3"/>
  <c r="K15" i="3"/>
  <c r="F15" i="3"/>
  <c r="M14" i="3"/>
  <c r="K14" i="3"/>
  <c r="F14" i="3"/>
  <c r="M13" i="3"/>
  <c r="K13" i="3"/>
  <c r="F13" i="3"/>
  <c r="M12" i="3"/>
  <c r="K12" i="3"/>
  <c r="F12" i="3"/>
  <c r="M11" i="3"/>
  <c r="K11" i="3"/>
  <c r="F11" i="3"/>
  <c r="M10" i="3"/>
  <c r="K10" i="3"/>
  <c r="F10" i="3"/>
  <c r="M9" i="3"/>
  <c r="F9" i="3"/>
  <c r="J8" i="3"/>
  <c r="K8" i="3" s="1"/>
  <c r="E8" i="3"/>
  <c r="F8" i="3" s="1"/>
  <c r="J8" i="2" l="1"/>
  <c r="L37" i="6"/>
  <c r="L39" i="6" s="1"/>
  <c r="P32" i="6"/>
  <c r="M8" i="3"/>
  <c r="M24" i="3"/>
  <c r="M28" i="3" s="1"/>
  <c r="F24" i="3"/>
  <c r="D26" i="3" s="1"/>
  <c r="K17" i="3"/>
  <c r="K24" i="3" s="1"/>
  <c r="D27" i="3" s="1"/>
  <c r="F27" i="3" s="1"/>
  <c r="O43" i="3" s="1"/>
  <c r="F26" i="3" l="1"/>
  <c r="D34" i="3" s="1"/>
  <c r="D37" i="3" s="1"/>
  <c r="O45" i="3" s="1"/>
  <c r="D33" i="3"/>
  <c r="K7" i="2"/>
  <c r="K13" i="2" s="1"/>
  <c r="O53" i="3"/>
  <c r="L9" i="2"/>
  <c r="I13" i="2"/>
  <c r="E29" i="2" s="1"/>
  <c r="L8" i="2"/>
  <c r="H7" i="2" l="1"/>
  <c r="D36" i="3"/>
  <c r="O47" i="3" s="1"/>
  <c r="O52" i="3" s="1"/>
  <c r="J7" i="2" s="1"/>
  <c r="O42" i="3"/>
  <c r="O44" i="3" s="1"/>
  <c r="G7" i="2" l="1"/>
  <c r="G13" i="2" s="1"/>
  <c r="E28" i="2" s="1"/>
  <c r="D39" i="3" l="1"/>
  <c r="O54" i="3"/>
  <c r="D41" i="3" l="1"/>
  <c r="L7" i="2" l="1"/>
  <c r="J13" i="2"/>
  <c r="L13" i="2" s="1"/>
</calcChain>
</file>

<file path=xl/sharedStrings.xml><?xml version="1.0" encoding="utf-8"?>
<sst xmlns="http://schemas.openxmlformats.org/spreadsheetml/2006/main" count="509" uniqueCount="277">
  <si>
    <t>Existing Lighting</t>
  </si>
  <si>
    <t xml:space="preserve">Proposed Lighting </t>
  </si>
  <si>
    <t>Fixture Type</t>
  </si>
  <si>
    <t>Description</t>
  </si>
  <si>
    <t>Watt/Fixture</t>
  </si>
  <si>
    <t>Quantity</t>
  </si>
  <si>
    <t xml:space="preserve">Fixture Type </t>
  </si>
  <si>
    <t>A</t>
  </si>
  <si>
    <t>Surface Wrap with acrylic lens, 4 ft with 2 lamps fluorescent</t>
  </si>
  <si>
    <t>L1</t>
  </si>
  <si>
    <t>EMS-L48-4000LM-IMAFL-WD-40K-80CRI</t>
  </si>
  <si>
    <t>B</t>
  </si>
  <si>
    <t>Industrial - Open lamps with reflector 4 ft long 4 lamps fluorescent</t>
  </si>
  <si>
    <t>L2</t>
  </si>
  <si>
    <t>EMS-L24-9000LM-PST-MD-40K-80CRI</t>
  </si>
  <si>
    <t>C</t>
  </si>
  <si>
    <t>Surface Wrap with acrylic lens, 8 ft with 2 lamps fluorescent</t>
  </si>
  <si>
    <t>L3</t>
  </si>
  <si>
    <t>EMS-L96-9000LM-IMAFL-WD-40K-80CRI</t>
  </si>
  <si>
    <t>D</t>
  </si>
  <si>
    <t>Industrial strip - Open lamps with reflector 8 ft long with 4 lamps</t>
  </si>
  <si>
    <t>L4</t>
  </si>
  <si>
    <t>E</t>
  </si>
  <si>
    <t>Keyless Incansescent</t>
  </si>
  <si>
    <t>L5</t>
  </si>
  <si>
    <t>LED MEDIUM BASE LAMP</t>
  </si>
  <si>
    <t>F</t>
  </si>
  <si>
    <t>High mount round HAT incansdescent or CFL</t>
  </si>
  <si>
    <t>L6</t>
  </si>
  <si>
    <t>PXLW-10000LM-WD-40K-80CRI-PM</t>
  </si>
  <si>
    <t>G</t>
  </si>
  <si>
    <t>Jelly jar incandescent</t>
  </si>
  <si>
    <t>L7</t>
  </si>
  <si>
    <t>PXLW-5000LM-WD-40K-80CRI-PM</t>
  </si>
  <si>
    <t>H</t>
  </si>
  <si>
    <t>Pendant stem - HAT incandescent</t>
  </si>
  <si>
    <t>L8</t>
  </si>
  <si>
    <t>I</t>
  </si>
  <si>
    <t>Clasified (explosion proff) jelly jar incandescent</t>
  </si>
  <si>
    <t>L9</t>
  </si>
  <si>
    <t>HRLL-8L-GO-AS-50K-CM</t>
  </si>
  <si>
    <t>J</t>
  </si>
  <si>
    <t>Industrial strip with specular reflector 4 ft with 2 lamps</t>
  </si>
  <si>
    <t>L10</t>
  </si>
  <si>
    <t>K</t>
  </si>
  <si>
    <t>Ice cube trap 4 ft 2 lamp T12 fluorescent</t>
  </si>
  <si>
    <t>L11</t>
  </si>
  <si>
    <t>L</t>
  </si>
  <si>
    <t>Troffer 2 x 4 4 lamp fluorescent</t>
  </si>
  <si>
    <t>L12</t>
  </si>
  <si>
    <t>HVT-2X4-DOP-5500-4OK</t>
  </si>
  <si>
    <t>M</t>
  </si>
  <si>
    <t>Exterior Barn Light</t>
  </si>
  <si>
    <t>L13</t>
  </si>
  <si>
    <t>WLT-F-R3-4K-UA-6K-TB-P3-PCLL</t>
  </si>
  <si>
    <t>N</t>
  </si>
  <si>
    <t>Exterior Small wall pack over man door</t>
  </si>
  <si>
    <t>L14</t>
  </si>
  <si>
    <t>HLWPC2-P10-40K-TFTM</t>
  </si>
  <si>
    <t>O</t>
  </si>
  <si>
    <t>Exterior Wallpack medium front entrance</t>
  </si>
  <si>
    <t>L15</t>
  </si>
  <si>
    <t>HLWPC2-P30-40K-TFTM</t>
  </si>
  <si>
    <t>Total Existing Watt</t>
  </si>
  <si>
    <t>Total Proposed Watt</t>
  </si>
  <si>
    <t>Total Watt  Fixture Type</t>
  </si>
  <si>
    <t>Total Watt Fixture Type</t>
  </si>
  <si>
    <t>On Time Hrs</t>
  </si>
  <si>
    <t xml:space="preserve">On Time Hrs = </t>
  </si>
  <si>
    <t>hrs</t>
  </si>
  <si>
    <t xml:space="preserve"> </t>
  </si>
  <si>
    <t>kWh</t>
  </si>
  <si>
    <t xml:space="preserve">kWh Savings = </t>
  </si>
  <si>
    <t>kW</t>
  </si>
  <si>
    <t xml:space="preserve">Demand Savings = </t>
  </si>
  <si>
    <t>EEM #1 Lighting Upgrade</t>
  </si>
  <si>
    <t>Elec Demand Cost Savings =</t>
  </si>
  <si>
    <t>Elec Cost Savings =</t>
  </si>
  <si>
    <t>Demand Cost =</t>
  </si>
  <si>
    <t>per kW</t>
  </si>
  <si>
    <t>per kWh</t>
  </si>
  <si>
    <t xml:space="preserve">Elec Cost = </t>
  </si>
  <si>
    <t xml:space="preserve">Total Savings = </t>
  </si>
  <si>
    <t>EEM Summary Table</t>
  </si>
  <si>
    <t>Measure Number</t>
  </si>
  <si>
    <t>Measure Description</t>
  </si>
  <si>
    <t>Annual Energy and Cost Savings</t>
  </si>
  <si>
    <t>Measure Cost and Simple Payback</t>
  </si>
  <si>
    <t xml:space="preserve">Electricity Savings   </t>
  </si>
  <si>
    <t xml:space="preserve">Gas Fuel Savings  </t>
  </si>
  <si>
    <t>Total Cost Savings</t>
  </si>
  <si>
    <t>Measure Cost</t>
  </si>
  <si>
    <t xml:space="preserve">Simple Payback </t>
  </si>
  <si>
    <t>Therms</t>
  </si>
  <si>
    <t>Year</t>
  </si>
  <si>
    <t>EEM 1</t>
  </si>
  <si>
    <t>-</t>
  </si>
  <si>
    <t>EEM 2</t>
  </si>
  <si>
    <t>EEM 3</t>
  </si>
  <si>
    <t>EEM 4</t>
  </si>
  <si>
    <t>Totals (Recommended Measures)</t>
  </si>
  <si>
    <t>kWh per year</t>
  </si>
  <si>
    <t>Therm per year</t>
  </si>
  <si>
    <t>% Savings with EEMs</t>
  </si>
  <si>
    <t>Therms per year</t>
  </si>
  <si>
    <t>Occupancy Sensors</t>
  </si>
  <si>
    <t>Programmable Thermostats</t>
  </si>
  <si>
    <t>Aprox. Installed Cost Each</t>
  </si>
  <si>
    <t>Subtotal</t>
  </si>
  <si>
    <t>Potential Utility Rebate</t>
  </si>
  <si>
    <t>Rough estimate installed cost</t>
  </si>
  <si>
    <t>Simple Payback</t>
  </si>
  <si>
    <t>years</t>
  </si>
  <si>
    <t>Existing  Conditions</t>
  </si>
  <si>
    <t>`</t>
  </si>
  <si>
    <t>Cost</t>
  </si>
  <si>
    <t>Cost/Sensor =</t>
  </si>
  <si>
    <t>Annual Energy Usage &amp; Savings Estimate</t>
  </si>
  <si>
    <t>Baseline Electric Usage (kWh)</t>
  </si>
  <si>
    <t xml:space="preserve"># sensors = </t>
  </si>
  <si>
    <t>Proposed Electric Usage (kWh)</t>
  </si>
  <si>
    <t xml:space="preserve">Estimated Cost = </t>
  </si>
  <si>
    <t>Electric Savings (kWh)</t>
  </si>
  <si>
    <t>Electric Cost Savings ($)</t>
  </si>
  <si>
    <t>Simple Payback =</t>
  </si>
  <si>
    <t>Baseline Natural Gas Usage (Therms)</t>
  </si>
  <si>
    <t>Proposed Natural Gas Usage (Therms)</t>
  </si>
  <si>
    <t>Natural Gas Savings (Therms)</t>
  </si>
  <si>
    <t>Natural Gas Savings ($)</t>
  </si>
  <si>
    <t>Annual Energy Cost Savings</t>
  </si>
  <si>
    <t>Measure Cost &amp; Simple Payback</t>
  </si>
  <si>
    <t>Project Cost</t>
  </si>
  <si>
    <t>Simple Payback (Cost/Savings)</t>
  </si>
  <si>
    <t>2021 Totals</t>
  </si>
  <si>
    <t>kBu/sf</t>
  </si>
  <si>
    <t>EUI (elec) =</t>
  </si>
  <si>
    <t>1000 Btu = 1 kBtu</t>
  </si>
  <si>
    <t>kBtu</t>
  </si>
  <si>
    <t>1 kWh = 3414 Btu</t>
  </si>
  <si>
    <t>Annual Electrical</t>
  </si>
  <si>
    <t>2021 Electrical</t>
  </si>
  <si>
    <t>sq. ft.</t>
  </si>
  <si>
    <t>Floor Area =</t>
  </si>
  <si>
    <t>Billing total</t>
  </si>
  <si>
    <t>Average Temperature</t>
  </si>
  <si>
    <t>Usage(kwh)</t>
  </si>
  <si>
    <t>Period</t>
  </si>
  <si>
    <t>Natutal Gas</t>
  </si>
  <si>
    <t>Date</t>
  </si>
  <si>
    <t>Gas Usage</t>
  </si>
  <si>
    <t>Therms Cost</t>
  </si>
  <si>
    <t>Service Chage</t>
  </si>
  <si>
    <t>Other Charges</t>
  </si>
  <si>
    <t xml:space="preserve">1 Therm = </t>
  </si>
  <si>
    <t>100,000 Btu</t>
  </si>
  <si>
    <t>1 Mbtu =</t>
  </si>
  <si>
    <t>1,000,000 Btu</t>
  </si>
  <si>
    <t>10 Mbtu</t>
  </si>
  <si>
    <t>Total</t>
  </si>
  <si>
    <t>Mbtu</t>
  </si>
  <si>
    <t>per Mbtu</t>
  </si>
  <si>
    <t>Other Charges 2021</t>
  </si>
  <si>
    <t>Mbtu/yr (NG)</t>
  </si>
  <si>
    <t>Elec Total Cost</t>
  </si>
  <si>
    <t>NG Total Cost</t>
  </si>
  <si>
    <t>Elec Cost/kWh</t>
  </si>
  <si>
    <t>Rooms do not have Occupancy Sensors</t>
  </si>
  <si>
    <t>Watt Existing</t>
  </si>
  <si>
    <t>kWh Existing</t>
  </si>
  <si>
    <t>Assume On Time at 3000 hrs per year</t>
  </si>
  <si>
    <t>Assume reduce to 2500 hrs per year ON time</t>
  </si>
  <si>
    <t>kWh Proposed</t>
  </si>
  <si>
    <t xml:space="preserve">EEM #2   Estimated Savings </t>
  </si>
  <si>
    <t>EEM #2</t>
  </si>
  <si>
    <t>Occupancy Sensor in Spaces</t>
  </si>
  <si>
    <t>Existing Conditions</t>
  </si>
  <si>
    <t xml:space="preserve">Approx, 80% of the exterior walls and roof are uninulsted. </t>
  </si>
  <si>
    <t>Additionally approximately 20 windows are single pane, metal framed and need to be replaced.</t>
  </si>
  <si>
    <t>eQUEST Building Simulation was used to estimate energy savings by upgrading the building envelope and windows.</t>
  </si>
  <si>
    <t xml:space="preserve">Baseline Energy = </t>
  </si>
  <si>
    <t xml:space="preserve">Proposed Energy = </t>
  </si>
  <si>
    <t>Calculations</t>
  </si>
  <si>
    <t>Elec Heater kWh = kW x hrs ON</t>
  </si>
  <si>
    <t xml:space="preserve">Elec Cost =  </t>
  </si>
  <si>
    <t>hr/year</t>
  </si>
  <si>
    <t>Hrs ON based on Bin Data and assumption tht units ar on whem t ambient is between 50 - 60 deg F</t>
  </si>
  <si>
    <t>% Savings = (Existing - Proposed)/Existing</t>
  </si>
  <si>
    <t>Hrs ON Overheating</t>
  </si>
  <si>
    <t>hr</t>
  </si>
  <si>
    <t>Oveheating Energy</t>
  </si>
  <si>
    <t>EEM #4</t>
  </si>
  <si>
    <t>Programmable T'Stats on Elec Wall Heaters</t>
  </si>
  <si>
    <t xml:space="preserve">15 Elec Unit Heaters </t>
  </si>
  <si>
    <t>Assume $150 per Thermostat</t>
  </si>
  <si>
    <t xml:space="preserve">EEM #1   Estimated Savings </t>
  </si>
  <si>
    <t>EEM #3 Estimated Savings</t>
  </si>
  <si>
    <t xml:space="preserve">EEM #4   Estimated Savings </t>
  </si>
  <si>
    <t>Participant (Customer) Contact</t>
  </si>
  <si>
    <t>Contact Name</t>
  </si>
  <si>
    <t>Title</t>
  </si>
  <si>
    <t>Phone</t>
  </si>
  <si>
    <t>Email</t>
  </si>
  <si>
    <t>CBEA Contact</t>
  </si>
  <si>
    <t>Suzanne Marinello P.E.</t>
  </si>
  <si>
    <t>Lead Energy Analyst Lead Instructor</t>
  </si>
  <si>
    <t xml:space="preserve">Phone </t>
  </si>
  <si>
    <t>541-207-8205</t>
  </si>
  <si>
    <t>marinellos@lanecc.edu</t>
  </si>
  <si>
    <t>Jacob Ray Gradwohl</t>
  </si>
  <si>
    <t>Lead Student Intern</t>
  </si>
  <si>
    <t>gradwoja@oregonstate.edu</t>
  </si>
  <si>
    <t>Yuki Klein</t>
  </si>
  <si>
    <t>Student Intern</t>
  </si>
  <si>
    <t>kleiny@oregonstate.edu</t>
  </si>
  <si>
    <t>Lowell Faucett</t>
  </si>
  <si>
    <t>Oregon State University Architect</t>
  </si>
  <si>
    <t>Joshua Price</t>
  </si>
  <si>
    <t>971-285-0306</t>
  </si>
  <si>
    <t>541-737-5903</t>
  </si>
  <si>
    <t>lowell.fausett@oregonstate.edu</t>
  </si>
  <si>
    <t>Hyslop Research Facility Director</t>
  </si>
  <si>
    <t>joshua.price@oregonstate.edu</t>
  </si>
  <si>
    <t>EEM 5</t>
  </si>
  <si>
    <t>Capital Improvement</t>
  </si>
  <si>
    <t>Eligible for Utility Incentive</t>
  </si>
  <si>
    <t>Ventilation</t>
  </si>
  <si>
    <t xml:space="preserve">Mechanical Ventilation </t>
  </si>
  <si>
    <t>NA</t>
  </si>
  <si>
    <t>NG Cost/MBtu</t>
  </si>
  <si>
    <t>EEM #5</t>
  </si>
  <si>
    <t>Premium Efficiency Motors</t>
  </si>
  <si>
    <t>3 Qty 3 HP  Motors 84% eff</t>
  </si>
  <si>
    <t xml:space="preserve">Hrs = </t>
  </si>
  <si>
    <t>hrs run time per year</t>
  </si>
  <si>
    <t xml:space="preserve">Load = </t>
  </si>
  <si>
    <t xml:space="preserve">efficiency = </t>
  </si>
  <si>
    <t>existing</t>
  </si>
  <si>
    <t>Premuim</t>
  </si>
  <si>
    <t>per motor</t>
  </si>
  <si>
    <t>Proposed  Conditions</t>
  </si>
  <si>
    <t>3 Qty 3 HP  Motors 91.7% eff</t>
  </si>
  <si>
    <t>EEM #5 Estimated Savings</t>
  </si>
  <si>
    <t xml:space="preserve">Power (kW) = HP x .746 kW/HP x Load/efficiency </t>
  </si>
  <si>
    <t xml:space="preserve">Energy Use = Power (kW) x hrs </t>
  </si>
  <si>
    <t xml:space="preserve">Energy Use Existing = </t>
  </si>
  <si>
    <t xml:space="preserve">Material Cost = </t>
  </si>
  <si>
    <t>Lighting Upgrade*</t>
  </si>
  <si>
    <t>Building Insulation*</t>
  </si>
  <si>
    <t>Premium Efficient Motors*</t>
  </si>
  <si>
    <t>Cost/kWh =</t>
  </si>
  <si>
    <t>2021 Electrical Data</t>
  </si>
  <si>
    <t>Month</t>
  </si>
  <si>
    <t>kWh Charge</t>
  </si>
  <si>
    <t>Charge / kWh</t>
  </si>
  <si>
    <t>kW Charge</t>
  </si>
  <si>
    <t>Fees</t>
  </si>
  <si>
    <t>Jan</t>
  </si>
  <si>
    <t>Feb</t>
  </si>
  <si>
    <t>Mar</t>
  </si>
  <si>
    <t>Apr</t>
  </si>
  <si>
    <t>Assumed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</si>
  <si>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</si>
  <si>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</si>
  <si>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</si>
  <si>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</si>
  <si>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</si>
  <si>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</si>
  <si>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</si>
  <si>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</si>
  <si>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</si>
  <si>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2021 Natural Gas Data</t>
  </si>
  <si>
    <t>Cost / Therm</t>
  </si>
  <si>
    <t>Building Insulation</t>
  </si>
  <si>
    <t>* These measures exceed 5 year simple payback. Included in report for Client but not considered for AR.</t>
  </si>
  <si>
    <t>Demand Savings (kW)</t>
  </si>
  <si>
    <t>Electric Demand Savings ($)</t>
  </si>
  <si>
    <t>kWh = watts/1000 x ON time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</si>
</sst>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.00"/>
    <numFmt numFmtId="167" formatCode="[$-409]d\-mmm\-yyyy;@"/>
    <numFmt numFmtId="168" formatCode="_(&quot;$&quot;* #,##0.000_);_(&quot;$&quot;* \(#,##0.000\);_(&quot;$&quot;* &quot;-&quot;??_);_(@_)"/>
    <numFmt numFmtId="169" formatCode="_(* #,##0_);_(* \(#,##0\);_(* &quot;-&quot;??_);_(@_)"/>
    <numFmt numFmtId="170" formatCode="&quot;$&quot;#,##0.000"/>
    <numFmt numFmtId="171" formatCode="&quot;$&quot;#,##0.0"/>
    <numFmt numFmtId="172" formatCode="#,##0.0"/>
    <numFmt numFmtId="173" formatCode="0.000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CE5CD"/>
      </patternFill>
    </fill>
    <fill>
      <patternFill patternType="solid">
        <fgColor rgb="FFD9D9D9"/>
        <bgColor rgb="FFD9D9D9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/>
    <xf numFmtId="0" fontId="22" fillId="0" borderId="0"/>
    <xf numFmtId="44" fontId="5" fillId="0" borderId="0" applyFont="0" applyFill="0" applyBorder="0" applyAlignment="0" applyProtection="0"/>
  </cellStyleXfs>
  <cellXfs count="256">
    <xf numFmtId="0" fontId="0" fillId="0" borderId="0" xfId="0" applyFont="1" applyAlignment="1"/>
    <xf numFmtId="0" fontId="9" fillId="0" borderId="0" xfId="0" applyFont="1"/>
    <xf numFmtId="0" fontId="11" fillId="0" borderId="0" xfId="0" applyFont="1" applyAlignment="1">
      <alignment wrapText="1"/>
    </xf>
    <xf numFmtId="0" fontId="12" fillId="0" borderId="8" xfId="0" applyFont="1" applyBorder="1"/>
    <xf numFmtId="0" fontId="10" fillId="0" borderId="7" xfId="0" applyFont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2" fillId="3" borderId="4" xfId="0" applyFont="1" applyFill="1" applyBorder="1" applyAlignment="1">
      <alignment horizontal="right"/>
    </xf>
    <xf numFmtId="164" fontId="12" fillId="3" borderId="3" xfId="1" applyNumberFormat="1" applyFont="1" applyFill="1" applyBorder="1" applyAlignment="1"/>
    <xf numFmtId="0" fontId="12" fillId="3" borderId="10" xfId="0" applyFont="1" applyFill="1" applyBorder="1" applyAlignment="1">
      <alignment horizontal="right"/>
    </xf>
    <xf numFmtId="164" fontId="12" fillId="3" borderId="11" xfId="1" applyNumberFormat="1" applyFont="1" applyFill="1" applyBorder="1" applyAlignment="1"/>
    <xf numFmtId="0" fontId="14" fillId="0" borderId="0" xfId="2" applyFont="1"/>
    <xf numFmtId="0" fontId="8" fillId="0" borderId="0" xfId="2"/>
    <xf numFmtId="0" fontId="13" fillId="4" borderId="20" xfId="2" applyFont="1" applyFill="1" applyBorder="1" applyAlignment="1">
      <alignment horizontal="center" wrapText="1"/>
    </xf>
    <xf numFmtId="0" fontId="13" fillId="4" borderId="21" xfId="2" applyFont="1" applyFill="1" applyBorder="1" applyAlignment="1">
      <alignment horizont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21" xfId="2" applyFont="1" applyFill="1" applyBorder="1" applyAlignment="1">
      <alignment horizontal="center" vertical="center" wrapText="1"/>
    </xf>
    <xf numFmtId="0" fontId="13" fillId="4" borderId="23" xfId="2" applyFont="1" applyFill="1" applyBorder="1" applyAlignment="1">
      <alignment horizontal="center"/>
    </xf>
    <xf numFmtId="0" fontId="13" fillId="4" borderId="25" xfId="2" applyFont="1" applyFill="1" applyBorder="1" applyAlignment="1">
      <alignment horizontal="center"/>
    </xf>
    <xf numFmtId="0" fontId="13" fillId="4" borderId="26" xfId="2" applyFont="1" applyFill="1" applyBorder="1" applyAlignment="1">
      <alignment horizontal="center"/>
    </xf>
    <xf numFmtId="0" fontId="13" fillId="4" borderId="24" xfId="2" applyFont="1" applyFill="1" applyBorder="1" applyAlignment="1">
      <alignment wrapText="1"/>
    </xf>
    <xf numFmtId="0" fontId="13" fillId="4" borderId="23" xfId="2" applyFont="1" applyFill="1" applyBorder="1"/>
    <xf numFmtId="0" fontId="13" fillId="4" borderId="24" xfId="2" applyFont="1" applyFill="1" applyBorder="1" applyAlignment="1">
      <alignment horizontal="center"/>
    </xf>
    <xf numFmtId="0" fontId="15" fillId="0" borderId="27" xfId="2" applyFont="1" applyBorder="1" applyAlignment="1">
      <alignment horizontal="center"/>
    </xf>
    <xf numFmtId="0" fontId="15" fillId="0" borderId="28" xfId="2" applyFont="1" applyBorder="1"/>
    <xf numFmtId="1" fontId="15" fillId="0" borderId="27" xfId="2" applyNumberFormat="1" applyFont="1" applyBorder="1" applyAlignment="1">
      <alignment horizontal="center"/>
    </xf>
    <xf numFmtId="1" fontId="15" fillId="0" borderId="9" xfId="2" applyNumberFormat="1" applyFont="1" applyBorder="1" applyAlignment="1">
      <alignment horizontal="center"/>
    </xf>
    <xf numFmtId="0" fontId="15" fillId="0" borderId="29" xfId="2" applyFont="1" applyBorder="1" applyAlignment="1">
      <alignment horizontal="center"/>
    </xf>
    <xf numFmtId="164" fontId="15" fillId="0" borderId="28" xfId="3" applyNumberFormat="1" applyFont="1" applyBorder="1" applyAlignment="1">
      <alignment horizontal="center"/>
    </xf>
    <xf numFmtId="164" fontId="15" fillId="0" borderId="27" xfId="3" applyNumberFormat="1" applyFont="1" applyBorder="1" applyAlignment="1">
      <alignment horizontal="center"/>
    </xf>
    <xf numFmtId="1" fontId="15" fillId="0" borderId="28" xfId="2" applyNumberFormat="1" applyFont="1" applyBorder="1" applyAlignment="1">
      <alignment horizontal="center"/>
    </xf>
    <xf numFmtId="1" fontId="15" fillId="0" borderId="29" xfId="2" applyNumberFormat="1" applyFont="1" applyBorder="1" applyAlignment="1">
      <alignment horizontal="center"/>
    </xf>
    <xf numFmtId="165" fontId="15" fillId="0" borderId="28" xfId="2" applyNumberFormat="1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21" xfId="2" applyFont="1" applyBorder="1"/>
    <xf numFmtId="1" fontId="15" fillId="0" borderId="22" xfId="2" applyNumberFormat="1" applyFont="1" applyBorder="1" applyAlignment="1">
      <alignment horizontal="center"/>
    </xf>
    <xf numFmtId="1" fontId="15" fillId="0" borderId="30" xfId="2" applyNumberFormat="1" applyFont="1" applyBorder="1" applyAlignment="1">
      <alignment horizontal="center"/>
    </xf>
    <xf numFmtId="0" fontId="15" fillId="0" borderId="20" xfId="2" applyFont="1" applyBorder="1" applyAlignment="1">
      <alignment horizontal="center"/>
    </xf>
    <xf numFmtId="164" fontId="15" fillId="0" borderId="21" xfId="3" applyNumberFormat="1" applyFont="1" applyBorder="1" applyAlignment="1">
      <alignment horizontal="center"/>
    </xf>
    <xf numFmtId="164" fontId="15" fillId="0" borderId="22" xfId="3" applyNumberFormat="1" applyFont="1" applyBorder="1" applyAlignment="1">
      <alignment horizontal="center"/>
    </xf>
    <xf numFmtId="1" fontId="15" fillId="0" borderId="21" xfId="2" applyNumberFormat="1" applyFont="1" applyBorder="1" applyAlignment="1">
      <alignment horizontal="center"/>
    </xf>
    <xf numFmtId="0" fontId="15" fillId="4" borderId="1" xfId="2" applyFont="1" applyFill="1" applyBorder="1"/>
    <xf numFmtId="0" fontId="15" fillId="4" borderId="2" xfId="2" applyFont="1" applyFill="1" applyBorder="1"/>
    <xf numFmtId="0" fontId="15" fillId="4" borderId="31" xfId="2" applyFont="1" applyFill="1" applyBorder="1"/>
    <xf numFmtId="0" fontId="15" fillId="4" borderId="13" xfId="2" applyFont="1" applyFill="1" applyBorder="1"/>
    <xf numFmtId="0" fontId="15" fillId="4" borderId="32" xfId="2" applyFont="1" applyFill="1" applyBorder="1"/>
    <xf numFmtId="1" fontId="15" fillId="4" borderId="4" xfId="2" applyNumberFormat="1" applyFont="1" applyFill="1" applyBorder="1" applyAlignment="1">
      <alignment horizontal="center" vertical="center"/>
    </xf>
    <xf numFmtId="1" fontId="15" fillId="4" borderId="5" xfId="2" applyNumberFormat="1" applyFont="1" applyFill="1" applyBorder="1" applyAlignment="1">
      <alignment horizontal="center" vertical="center"/>
    </xf>
    <xf numFmtId="1" fontId="15" fillId="4" borderId="33" xfId="2" applyNumberFormat="1" applyFont="1" applyFill="1" applyBorder="1" applyAlignment="1">
      <alignment horizontal="center" vertical="center"/>
    </xf>
    <xf numFmtId="164" fontId="15" fillId="4" borderId="34" xfId="2" applyNumberFormat="1" applyFont="1" applyFill="1" applyBorder="1"/>
    <xf numFmtId="164" fontId="15" fillId="4" borderId="35" xfId="2" applyNumberFormat="1" applyFont="1" applyFill="1" applyBorder="1"/>
    <xf numFmtId="1" fontId="15" fillId="4" borderId="34" xfId="2" applyNumberFormat="1" applyFont="1" applyFill="1" applyBorder="1" applyAlignment="1">
      <alignment horizontal="center"/>
    </xf>
    <xf numFmtId="9" fontId="0" fillId="0" borderId="0" xfId="4" applyFont="1"/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1" fontId="12" fillId="3" borderId="2" xfId="0" applyNumberFormat="1" applyFont="1" applyFill="1" applyBorder="1"/>
    <xf numFmtId="0" fontId="12" fillId="3" borderId="3" xfId="0" applyFont="1" applyFill="1" applyBorder="1"/>
    <xf numFmtId="0" fontId="0" fillId="0" borderId="0" xfId="0" applyAlignment="1">
      <alignment horizontal="left"/>
    </xf>
    <xf numFmtId="1" fontId="12" fillId="3" borderId="5" xfId="0" applyNumberFormat="1" applyFont="1" applyFill="1" applyBorder="1"/>
    <xf numFmtId="0" fontId="12" fillId="3" borderId="6" xfId="0" applyFont="1" applyFill="1" applyBorder="1"/>
    <xf numFmtId="0" fontId="12" fillId="3" borderId="10" xfId="0" applyFont="1" applyFill="1" applyBorder="1"/>
    <xf numFmtId="0" fontId="12" fillId="3" borderId="11" xfId="0" applyFont="1" applyFill="1" applyBorder="1"/>
    <xf numFmtId="164" fontId="12" fillId="3" borderId="6" xfId="0" applyNumberFormat="1" applyFont="1" applyFill="1" applyBorder="1"/>
    <xf numFmtId="0" fontId="12" fillId="3" borderId="0" xfId="0" applyFont="1" applyFill="1" applyAlignment="1">
      <alignment horizontal="right"/>
    </xf>
    <xf numFmtId="0" fontId="7" fillId="0" borderId="0" xfId="6"/>
    <xf numFmtId="0" fontId="12" fillId="0" borderId="0" xfId="6" applyFont="1"/>
    <xf numFmtId="0" fontId="7" fillId="0" borderId="0" xfId="6" applyAlignment="1">
      <alignment wrapText="1"/>
    </xf>
    <xf numFmtId="1" fontId="7" fillId="0" borderId="0" xfId="6" applyNumberFormat="1"/>
    <xf numFmtId="164" fontId="0" fillId="0" borderId="0" xfId="7" applyNumberFormat="1" applyFont="1"/>
    <xf numFmtId="0" fontId="7" fillId="0" borderId="1" xfId="6" applyBorder="1"/>
    <xf numFmtId="0" fontId="7" fillId="0" borderId="2" xfId="6" applyBorder="1"/>
    <xf numFmtId="1" fontId="7" fillId="0" borderId="3" xfId="6" applyNumberFormat="1" applyBorder="1"/>
    <xf numFmtId="0" fontId="7" fillId="0" borderId="10" xfId="6" applyBorder="1"/>
    <xf numFmtId="1" fontId="7" fillId="0" borderId="11" xfId="6" applyNumberFormat="1" applyBorder="1"/>
    <xf numFmtId="0" fontId="7" fillId="0" borderId="38" xfId="6" applyBorder="1"/>
    <xf numFmtId="0" fontId="7" fillId="0" borderId="39" xfId="6" applyBorder="1"/>
    <xf numFmtId="164" fontId="0" fillId="0" borderId="40" xfId="7" applyNumberFormat="1" applyFont="1" applyBorder="1"/>
    <xf numFmtId="0" fontId="7" fillId="0" borderId="41" xfId="6" applyBorder="1"/>
    <xf numFmtId="0" fontId="7" fillId="0" borderId="42" xfId="6" applyBorder="1"/>
    <xf numFmtId="1" fontId="7" fillId="0" borderId="43" xfId="6" applyNumberFormat="1" applyBorder="1"/>
    <xf numFmtId="0" fontId="7" fillId="0" borderId="4" xfId="6" applyBorder="1"/>
    <xf numFmtId="0" fontId="7" fillId="0" borderId="5" xfId="6" applyBorder="1"/>
    <xf numFmtId="164" fontId="0" fillId="0" borderId="6" xfId="7" applyNumberFormat="1" applyFont="1" applyBorder="1"/>
    <xf numFmtId="164" fontId="7" fillId="0" borderId="11" xfId="6" applyNumberFormat="1" applyBorder="1"/>
    <xf numFmtId="164" fontId="7" fillId="0" borderId="3" xfId="6" applyNumberFormat="1" applyBorder="1"/>
    <xf numFmtId="165" fontId="7" fillId="0" borderId="6" xfId="6" applyNumberFormat="1" applyBorder="1"/>
    <xf numFmtId="0" fontId="7" fillId="0" borderId="0" xfId="2" applyFont="1"/>
    <xf numFmtId="168" fontId="0" fillId="0" borderId="0" xfId="7" applyNumberFormat="1" applyFont="1"/>
    <xf numFmtId="164" fontId="8" fillId="0" borderId="0" xfId="1" applyNumberFormat="1" applyFont="1"/>
    <xf numFmtId="44" fontId="8" fillId="0" borderId="0" xfId="2" applyNumberFormat="1"/>
    <xf numFmtId="164" fontId="8" fillId="0" borderId="0" xfId="2" applyNumberFormat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7" fillId="0" borderId="0" xfId="6" applyNumberFormat="1"/>
    <xf numFmtId="0" fontId="14" fillId="2" borderId="36" xfId="6" applyFont="1" applyFill="1" applyBorder="1"/>
    <xf numFmtId="0" fontId="14" fillId="2" borderId="37" xfId="6" applyFont="1" applyFill="1" applyBorder="1"/>
    <xf numFmtId="0" fontId="14" fillId="2" borderId="44" xfId="6" applyFont="1" applyFill="1" applyBorder="1"/>
    <xf numFmtId="0" fontId="17" fillId="2" borderId="44" xfId="0" applyFont="1" applyFill="1" applyBorder="1"/>
    <xf numFmtId="0" fontId="14" fillId="2" borderId="36" xfId="0" applyFont="1" applyFill="1" applyBorder="1"/>
    <xf numFmtId="0" fontId="7" fillId="0" borderId="0" xfId="0" applyFont="1" applyAlignment="1"/>
    <xf numFmtId="0" fontId="7" fillId="0" borderId="0" xfId="0" applyFont="1" applyFill="1" applyBorder="1" applyAlignment="1"/>
    <xf numFmtId="3" fontId="0" fillId="0" borderId="0" xfId="0" applyNumberFormat="1" applyFont="1" applyAlignment="1"/>
    <xf numFmtId="169" fontId="0" fillId="0" borderId="0" xfId="5" applyNumberFormat="1" applyFont="1" applyAlignment="1"/>
    <xf numFmtId="164" fontId="7" fillId="0" borderId="6" xfId="7" applyNumberFormat="1" applyFont="1" applyBorder="1"/>
    <xf numFmtId="0" fontId="18" fillId="0" borderId="0" xfId="6" applyFont="1"/>
    <xf numFmtId="0" fontId="20" fillId="7" borderId="10" xfId="6" applyFont="1" applyFill="1" applyBorder="1" applyAlignment="1">
      <alignment vertical="center"/>
    </xf>
    <xf numFmtId="0" fontId="20" fillId="7" borderId="0" xfId="6" applyFont="1" applyFill="1" applyAlignment="1">
      <alignment vertical="center"/>
    </xf>
    <xf numFmtId="0" fontId="20" fillId="7" borderId="11" xfId="6" applyFont="1" applyFill="1" applyBorder="1" applyAlignment="1">
      <alignment vertical="center"/>
    </xf>
    <xf numFmtId="0" fontId="12" fillId="0" borderId="27" xfId="6" applyFont="1" applyBorder="1" applyAlignment="1">
      <alignment vertical="center"/>
    </xf>
    <xf numFmtId="0" fontId="7" fillId="0" borderId="7" xfId="6" applyBorder="1" applyAlignment="1">
      <alignment vertical="center"/>
    </xf>
    <xf numFmtId="0" fontId="7" fillId="0" borderId="8" xfId="6" applyBorder="1" applyAlignment="1">
      <alignment vertical="center"/>
    </xf>
    <xf numFmtId="0" fontId="7" fillId="0" borderId="45" xfId="6" applyBorder="1" applyAlignment="1">
      <alignment vertical="center"/>
    </xf>
    <xf numFmtId="0" fontId="19" fillId="0" borderId="7" xfId="9" applyBorder="1" applyAlignment="1">
      <alignment vertical="center"/>
    </xf>
    <xf numFmtId="0" fontId="20" fillId="7" borderId="10" xfId="6" applyFont="1" applyFill="1" applyBorder="1"/>
    <xf numFmtId="0" fontId="20" fillId="7" borderId="0" xfId="6" applyFont="1" applyFill="1"/>
    <xf numFmtId="0" fontId="20" fillId="7" borderId="11" xfId="6" applyFont="1" applyFill="1" applyBorder="1"/>
    <xf numFmtId="0" fontId="7" fillId="0" borderId="27" xfId="6" applyBorder="1"/>
    <xf numFmtId="0" fontId="7" fillId="0" borderId="7" xfId="6" applyBorder="1"/>
    <xf numFmtId="0" fontId="7" fillId="0" borderId="8" xfId="6" applyBorder="1"/>
    <xf numFmtId="0" fontId="7" fillId="0" borderId="45" xfId="6" applyBorder="1"/>
    <xf numFmtId="0" fontId="19" fillId="0" borderId="7" xfId="9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18" xfId="0" applyFont="1" applyFill="1" applyBorder="1" applyAlignment="1">
      <alignment wrapText="1"/>
    </xf>
    <xf numFmtId="0" fontId="13" fillId="4" borderId="17" xfId="0" applyFont="1" applyFill="1" applyBorder="1"/>
    <xf numFmtId="0" fontId="15" fillId="4" borderId="18" xfId="0" applyFont="1" applyFill="1" applyBorder="1"/>
    <xf numFmtId="0" fontId="0" fillId="0" borderId="31" xfId="0" applyBorder="1"/>
    <xf numFmtId="0" fontId="0" fillId="0" borderId="46" xfId="0" applyBorder="1"/>
    <xf numFmtId="0" fontId="0" fillId="0" borderId="5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6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164" fontId="7" fillId="0" borderId="31" xfId="7" applyNumberFormat="1" applyFont="1" applyBorder="1"/>
    <xf numFmtId="0" fontId="7" fillId="0" borderId="3" xfId="0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0" fontId="6" fillId="0" borderId="0" xfId="6" applyFont="1"/>
    <xf numFmtId="0" fontId="6" fillId="0" borderId="0" xfId="6" applyFont="1" applyAlignment="1">
      <alignment horizontal="right"/>
    </xf>
    <xf numFmtId="10" fontId="7" fillId="0" borderId="0" xfId="6" applyNumberFormat="1"/>
    <xf numFmtId="9" fontId="6" fillId="0" borderId="0" xfId="6" applyNumberFormat="1" applyFont="1"/>
    <xf numFmtId="9" fontId="7" fillId="0" borderId="0" xfId="6" applyNumberFormat="1"/>
    <xf numFmtId="164" fontId="7" fillId="0" borderId="0" xfId="1" applyNumberFormat="1" applyFont="1"/>
    <xf numFmtId="167" fontId="5" fillId="0" borderId="0" xfId="10" applyNumberFormat="1"/>
    <xf numFmtId="0" fontId="5" fillId="0" borderId="0" xfId="10"/>
    <xf numFmtId="2" fontId="5" fillId="0" borderId="0" xfId="10" applyNumberFormat="1"/>
    <xf numFmtId="166" fontId="5" fillId="0" borderId="0" xfId="10" applyNumberFormat="1"/>
    <xf numFmtId="0" fontId="16" fillId="0" borderId="0" xfId="10" applyFont="1" applyAlignment="1">
      <alignment horizontal="center"/>
    </xf>
    <xf numFmtId="1" fontId="5" fillId="0" borderId="0" xfId="10" applyNumberFormat="1"/>
    <xf numFmtId="165" fontId="5" fillId="0" borderId="0" xfId="10" applyNumberFormat="1"/>
    <xf numFmtId="0" fontId="5" fillId="0" borderId="0" xfId="10" applyAlignment="1">
      <alignment horizontal="right"/>
    </xf>
    <xf numFmtId="0" fontId="22" fillId="0" borderId="0" xfId="11" applyAlignment="1">
      <alignment horizontal="center" vertical="center"/>
    </xf>
    <xf numFmtId="0" fontId="22" fillId="0" borderId="0" xfId="11" applyAlignment="1">
      <alignment horizontal="center"/>
    </xf>
    <xf numFmtId="0" fontId="22" fillId="0" borderId="0" xfId="11"/>
    <xf numFmtId="0" fontId="23" fillId="3" borderId="19" xfId="11" applyFont="1" applyFill="1" applyBorder="1" applyAlignment="1">
      <alignment horizontal="center" vertical="center"/>
    </xf>
    <xf numFmtId="0" fontId="12" fillId="3" borderId="8" xfId="11" applyFont="1" applyFill="1" applyBorder="1" applyAlignment="1">
      <alignment horizontal="center"/>
    </xf>
    <xf numFmtId="0" fontId="12" fillId="3" borderId="45" xfId="11" applyFont="1" applyFill="1" applyBorder="1" applyAlignment="1">
      <alignment horizontal="center"/>
    </xf>
    <xf numFmtId="0" fontId="24" fillId="0" borderId="27" xfId="11" applyFont="1" applyBorder="1" applyAlignment="1">
      <alignment horizontal="center" vertical="center"/>
    </xf>
    <xf numFmtId="3" fontId="5" fillId="0" borderId="29" xfId="11" applyNumberFormat="1" applyFont="1" applyBorder="1" applyAlignment="1">
      <alignment horizontal="center"/>
    </xf>
    <xf numFmtId="170" fontId="5" fillId="0" borderId="29" xfId="11" applyNumberFormat="1" applyFont="1" applyBorder="1" applyAlignment="1">
      <alignment horizontal="center"/>
    </xf>
    <xf numFmtId="164" fontId="5" fillId="0" borderId="29" xfId="12" applyNumberFormat="1" applyFont="1" applyBorder="1" applyAlignment="1">
      <alignment horizontal="center"/>
    </xf>
    <xf numFmtId="0" fontId="25" fillId="0" borderId="0" xfId="11" applyFont="1"/>
    <xf numFmtId="171" fontId="22" fillId="0" borderId="0" xfId="11" applyNumberFormat="1"/>
    <xf numFmtId="0" fontId="26" fillId="3" borderId="48" xfId="11" applyFont="1" applyFill="1" applyBorder="1" applyAlignment="1">
      <alignment horizontal="center"/>
    </xf>
    <xf numFmtId="3" fontId="22" fillId="3" borderId="49" xfId="11" applyNumberFormat="1" applyFill="1" applyBorder="1" applyAlignment="1">
      <alignment horizontal="center"/>
    </xf>
    <xf numFmtId="166" fontId="22" fillId="3" borderId="49" xfId="11" applyNumberFormat="1" applyFill="1" applyBorder="1" applyAlignment="1">
      <alignment horizontal="center"/>
    </xf>
    <xf numFmtId="4" fontId="22" fillId="3" borderId="49" xfId="11" applyNumberFormat="1" applyFill="1" applyBorder="1" applyAlignment="1">
      <alignment horizontal="center"/>
    </xf>
    <xf numFmtId="166" fontId="22" fillId="3" borderId="50" xfId="11" applyNumberFormat="1" applyFill="1" applyBorder="1" applyAlignment="1">
      <alignment horizontal="center"/>
    </xf>
    <xf numFmtId="0" fontId="23" fillId="3" borderId="51" xfId="11" applyFont="1" applyFill="1" applyBorder="1" applyAlignment="1">
      <alignment horizontal="center" vertical="center"/>
    </xf>
    <xf numFmtId="172" fontId="27" fillId="0" borderId="29" xfId="11" applyNumberFormat="1" applyFont="1" applyBorder="1" applyAlignment="1">
      <alignment horizontal="center"/>
    </xf>
    <xf numFmtId="166" fontId="27" fillId="0" borderId="29" xfId="11" applyNumberFormat="1" applyFont="1" applyBorder="1" applyAlignment="1">
      <alignment horizontal="center"/>
    </xf>
    <xf numFmtId="170" fontId="27" fillId="0" borderId="29" xfId="11" applyNumberFormat="1" applyFont="1" applyBorder="1" applyAlignment="1">
      <alignment horizontal="center"/>
    </xf>
    <xf numFmtId="166" fontId="27" fillId="9" borderId="28" xfId="11" applyNumberFormat="1" applyFont="1" applyFill="1" applyBorder="1" applyAlignment="1">
      <alignment horizontal="center"/>
    </xf>
    <xf numFmtId="172" fontId="22" fillId="3" borderId="49" xfId="11" applyNumberFormat="1" applyFill="1" applyBorder="1" applyAlignment="1">
      <alignment horizontal="center" vertical="center"/>
    </xf>
    <xf numFmtId="14" fontId="5" fillId="0" borderId="0" xfId="10" applyNumberFormat="1"/>
    <xf numFmtId="44" fontId="0" fillId="0" borderId="0" xfId="12" applyFont="1"/>
    <xf numFmtId="44" fontId="5" fillId="0" borderId="0" xfId="10" applyNumberFormat="1"/>
    <xf numFmtId="165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" fontId="4" fillId="0" borderId="43" xfId="6" applyNumberFormat="1" applyFont="1" applyBorder="1"/>
    <xf numFmtId="1" fontId="4" fillId="0" borderId="11" xfId="6" applyNumberFormat="1" applyFont="1" applyBorder="1"/>
    <xf numFmtId="3" fontId="8" fillId="0" borderId="0" xfId="2" applyNumberFormat="1"/>
    <xf numFmtId="0" fontId="3" fillId="0" borderId="0" xfId="2" applyFont="1" applyAlignment="1">
      <alignment vertical="top" wrapText="1"/>
    </xf>
    <xf numFmtId="0" fontId="2" fillId="0" borderId="10" xfId="6" applyFont="1" applyBorder="1"/>
    <xf numFmtId="0" fontId="2" fillId="0" borderId="38" xfId="6" applyFont="1" applyBorder="1"/>
    <xf numFmtId="164" fontId="0" fillId="0" borderId="11" xfId="7" applyNumberFormat="1" applyFont="1" applyBorder="1"/>
    <xf numFmtId="0" fontId="21" fillId="8" borderId="14" xfId="11" applyFont="1" applyFill="1" applyBorder="1" applyAlignment="1">
      <alignment horizontal="center"/>
    </xf>
    <xf numFmtId="0" fontId="21" fillId="8" borderId="15" xfId="11" applyFont="1" applyFill="1" applyBorder="1" applyAlignment="1">
      <alignment horizontal="center"/>
    </xf>
    <xf numFmtId="0" fontId="21" fillId="8" borderId="16" xfId="11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0" fontId="13" fillId="4" borderId="23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/>
    </xf>
    <xf numFmtId="0" fontId="13" fillId="4" borderId="18" xfId="2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center" vertical="center"/>
    </xf>
    <xf numFmtId="0" fontId="13" fillId="4" borderId="14" xfId="2" applyFont="1" applyFill="1" applyBorder="1" applyAlignment="1">
      <alignment horizontal="center"/>
    </xf>
    <xf numFmtId="0" fontId="13" fillId="4" borderId="15" xfId="2" applyFont="1" applyFill="1" applyBorder="1" applyAlignment="1">
      <alignment horizontal="center"/>
    </xf>
    <xf numFmtId="0" fontId="13" fillId="4" borderId="16" xfId="2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5" fillId="4" borderId="1" xfId="2" applyFont="1" applyFill="1" applyBorder="1" applyAlignment="1">
      <alignment horizontal="left"/>
    </xf>
    <xf numFmtId="0" fontId="15" fillId="4" borderId="3" xfId="2" applyFont="1" applyFill="1" applyBorder="1" applyAlignment="1">
      <alignment horizontal="left"/>
    </xf>
    <xf numFmtId="0" fontId="15" fillId="4" borderId="4" xfId="2" applyFont="1" applyFill="1" applyBorder="1" applyAlignment="1">
      <alignment horizontal="left"/>
    </xf>
    <xf numFmtId="0" fontId="15" fillId="4" borderId="6" xfId="2" applyFont="1" applyFill="1" applyBorder="1" applyAlignment="1">
      <alignment horizontal="left"/>
    </xf>
    <xf numFmtId="0" fontId="12" fillId="5" borderId="36" xfId="6" applyFont="1" applyFill="1" applyBorder="1" applyAlignment="1">
      <alignment horizontal="center"/>
    </xf>
    <xf numFmtId="0" fontId="12" fillId="5" borderId="37" xfId="6" applyFont="1" applyFill="1" applyBorder="1" applyAlignment="1">
      <alignment horizontal="center"/>
    </xf>
    <xf numFmtId="0" fontId="12" fillId="5" borderId="2" xfId="6" applyFont="1" applyFill="1" applyBorder="1" applyAlignment="1">
      <alignment horizontal="center"/>
    </xf>
    <xf numFmtId="0" fontId="12" fillId="5" borderId="3" xfId="6" applyFont="1" applyFill="1" applyBorder="1" applyAlignment="1">
      <alignment horizontal="center"/>
    </xf>
    <xf numFmtId="0" fontId="7" fillId="0" borderId="1" xfId="6" applyBorder="1" applyAlignment="1">
      <alignment horizontal="center" vertical="center" wrapText="1"/>
    </xf>
    <xf numFmtId="0" fontId="7" fillId="0" borderId="3" xfId="6" applyBorder="1" applyAlignment="1">
      <alignment horizontal="center" vertical="center" wrapText="1"/>
    </xf>
    <xf numFmtId="0" fontId="7" fillId="0" borderId="10" xfId="6" applyBorder="1" applyAlignment="1">
      <alignment horizontal="center" vertical="center" wrapText="1"/>
    </xf>
    <xf numFmtId="0" fontId="7" fillId="0" borderId="11" xfId="6" applyBorder="1" applyAlignment="1">
      <alignment horizontal="center" vertical="center" wrapText="1"/>
    </xf>
    <xf numFmtId="0" fontId="7" fillId="0" borderId="4" xfId="6" applyBorder="1" applyAlignment="1">
      <alignment horizontal="center" vertical="center" wrapText="1"/>
    </xf>
    <xf numFmtId="0" fontId="7" fillId="0" borderId="6" xfId="6" applyBorder="1" applyAlignment="1">
      <alignment horizontal="center" vertical="center" wrapText="1"/>
    </xf>
    <xf numFmtId="0" fontId="7" fillId="0" borderId="10" xfId="6" applyBorder="1" applyAlignment="1">
      <alignment horizontal="center" wrapText="1"/>
    </xf>
    <xf numFmtId="0" fontId="7" fillId="0" borderId="11" xfId="6" applyBorder="1" applyAlignment="1">
      <alignment horizontal="center" wrapText="1"/>
    </xf>
    <xf numFmtId="0" fontId="7" fillId="0" borderId="4" xfId="6" applyBorder="1" applyAlignment="1">
      <alignment horizontal="center" wrapText="1"/>
    </xf>
    <xf numFmtId="0" fontId="7" fillId="0" borderId="6" xfId="6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8" xfId="0" applyFont="1" applyBorder="1" applyAlignment="1">
      <alignment horizontal="center"/>
    </xf>
    <xf numFmtId="0" fontId="12" fillId="6" borderId="36" xfId="0" applyFont="1" applyFill="1" applyBorder="1" applyAlignment="1">
      <alignment horizontal="center"/>
    </xf>
    <xf numFmtId="0" fontId="12" fillId="6" borderId="37" xfId="0" applyFont="1" applyFill="1" applyBorder="1" applyAlignment="1">
      <alignment horizontal="center"/>
    </xf>
    <xf numFmtId="0" fontId="12" fillId="6" borderId="44" xfId="0" applyFont="1" applyFill="1" applyBorder="1" applyAlignment="1">
      <alignment horizontal="center"/>
    </xf>
    <xf numFmtId="0" fontId="12" fillId="5" borderId="44" xfId="6" applyFont="1" applyFill="1" applyBorder="1" applyAlignment="1">
      <alignment horizontal="center"/>
    </xf>
    <xf numFmtId="0" fontId="16" fillId="0" borderId="0" xfId="10" applyFont="1" applyAlignment="1">
      <alignment horizontal="center"/>
    </xf>
    <xf numFmtId="0" fontId="12" fillId="0" borderId="9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3" fillId="0" borderId="0" xfId="0" applyFont="1" applyAlignment="1">
      <alignment horizontal="left" vertical="top" wrapText="1"/>
    </xf>
    <xf numFmtId="0" fontId="1" fillId="0" borderId="0" xfId="0" applyFont="1"/>
    <xf numFmtId="166" fontId="1" fillId="0" borderId="0" xfId="0" applyNumberFormat="1" applyFont="1"/>
    <xf numFmtId="0" fontId="12" fillId="0" borderId="0" xfId="0" applyFont="1" applyAlignment="1">
      <alignment wrapText="1"/>
    </xf>
    <xf numFmtId="8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3" fillId="0" borderId="0" xfId="0" applyNumberFormat="1" applyFont="1"/>
    <xf numFmtId="0" fontId="9" fillId="0" borderId="0" xfId="0" applyFont="1" applyAlignment="1">
      <alignment wrapText="1"/>
    </xf>
    <xf numFmtId="0" fontId="12" fillId="0" borderId="8" xfId="0" applyFont="1" applyBorder="1" applyAlignment="1">
      <alignment wrapText="1"/>
    </xf>
    <xf numFmtId="0" fontId="1" fillId="0" borderId="0" xfId="6" applyFont="1"/>
    <xf numFmtId="0" fontId="0" fillId="0" borderId="0" xfId="0" applyFont="1"/>
  </cellXfs>
  <cellStyles count="13">
    <cellStyle name="Comma" xfId="5" builtinId="3"/>
    <cellStyle name="Comma 2" xfId="8" xr:uid="{42E4F9EF-89A6-453A-8F4D-46BB261E2E3A}"/>
    <cellStyle name="Currency" xfId="1" builtinId="4"/>
    <cellStyle name="Currency 2" xfId="3" xr:uid="{D61D01F2-3583-42D4-ACDC-17DCFAD6CB4C}"/>
    <cellStyle name="Currency 3" xfId="7" xr:uid="{BC63C486-070F-4BCD-9B2F-C08621F5D5FD}"/>
    <cellStyle name="Currency 4" xfId="12" xr:uid="{121BEE86-A5E3-4AB1-98DC-5E91A199AA1B}"/>
    <cellStyle name="Hyperlink" xfId="9" builtinId="8"/>
    <cellStyle name="Normal" xfId="0" builtinId="0"/>
    <cellStyle name="Normal 2" xfId="2" xr:uid="{CF87CB0A-1490-4EF1-848C-60A3CABAAE47}"/>
    <cellStyle name="Normal 2 2" xfId="11" xr:uid="{19152922-E2E7-4A16-9361-1C85132ADF52}"/>
    <cellStyle name="Normal 3" xfId="6" xr:uid="{27E1B58C-2FA8-4859-B044-4D9939849DED}"/>
    <cellStyle name="Normal 4" xfId="10" xr:uid="{9E0E9DF3-3089-4628-8EE0-8DB787A91956}"/>
    <cellStyle name="Percent 2" xfId="4" xr:uid="{8A07C2D5-B104-4B97-9D9B-08408BE65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541020</xdr:colOff>
      <xdr:row>11</xdr:row>
      <xdr:rowOff>78105</xdr:rowOff>
    </xdr:from>
    <xdr:to>
      <xdr:col>11</xdr:col>
      <xdr:colOff>984408</xdr:colOff>
      <xdr:row>28</xdr:row>
      <xdr:rowOff>116523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8450C7-05B3-7715-ECE6-5512BEEBE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0220" y="2135505"/>
          <a:ext cx="7053738" cy="3114993"/>
        </a:xfrm>
        <a:prstGeom prst="rect">
          <a:avLst/>
        </a:prstGeom>
      </xdr:spPr>
    </xdr:pic>
    <xdr:clientData/>
  </xdr:twoCellAnchor>
  <xdr:twoCellAnchor editAs="oneCell">
    <xdr:from>
      <xdr:col>11</xdr:col>
      <xdr:colOff>1122044</xdr:colOff>
      <xdr:row>14</xdr:row>
      <xdr:rowOff>64849</xdr:rowOff>
    </xdr:from>
    <xdr:to>
      <xdr:col>23</xdr:col>
      <xdr:colOff>132445</xdr:colOff>
      <xdr:row>26</xdr:row>
      <xdr:rowOff>59361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CE627B-23D8-34CB-594E-E6DE1A7EC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1594" y="2665174"/>
          <a:ext cx="7091411" cy="2175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zan\OneDrive\Documents\CBEA\Hyslop%20Report\Hyslop%20Utility%20Use%202%20ye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c67cb8da90d468/Documents/CBEA/Cabelas%20Springfield%20Report/Cabelas%20Springfield%20EEMs%20Calcs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Utility"/>
      <sheetName val="2021 Electrical"/>
      <sheetName val="2021 Natural Gas"/>
    </sheetNames>
    <sheetDataSet>
      <sheetData sheetId="0"/>
      <sheetData sheetId="1"/>
      <sheetData sheetId="2">
        <row r="18">
          <cell r="H18">
            <v>10.01</v>
          </cell>
        </row>
        <row r="19">
          <cell r="E19">
            <v>540.20000000000005</v>
          </cell>
          <cell r="F19">
            <v>433.34</v>
          </cell>
          <cell r="G19">
            <v>8.7899999999999991</v>
          </cell>
          <cell r="H19">
            <v>36.92</v>
          </cell>
        </row>
        <row r="20">
          <cell r="E20">
            <v>381.3</v>
          </cell>
          <cell r="F20">
            <v>362.92</v>
          </cell>
          <cell r="G20">
            <v>6.21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M Summary"/>
      <sheetName val="EEM #1 Replace Warehse LTG"/>
      <sheetName val="EEM #2 Replace Retail LTG  "/>
      <sheetName val="EEN #1 and #2 combined"/>
      <sheetName val="EEM #2  Occupancy Sensors"/>
      <sheetName val="EEM  #3 DCV"/>
      <sheetName val="EEM #4  Economizer"/>
      <sheetName val="Reduced OA Heating Calc"/>
      <sheetName val="Reduced OA Cooling Calc  )"/>
      <sheetName val="EEM Occupancy Sensors Server 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leiny@oregonstate.edu" TargetMode="External"/><Relationship Id="rId2" Type="http://schemas.openxmlformats.org/officeDocument/2006/relationships/hyperlink" Target="mailto:marinellos@lanecc.edu" TargetMode="External"/><Relationship Id="rId1" Type="http://schemas.openxmlformats.org/officeDocument/2006/relationships/hyperlink" Target="mailto:marinellos@lanecc.edu" TargetMode="External"/><Relationship Id="rId6" Type="http://schemas.openxmlformats.org/officeDocument/2006/relationships/hyperlink" Target="mailto:joshua.price@oregonstate.edu" TargetMode="External"/><Relationship Id="rId5" Type="http://schemas.openxmlformats.org/officeDocument/2006/relationships/hyperlink" Target="mailto:lowell.fausett@oregonstate.edu" TargetMode="External"/><Relationship Id="rId4" Type="http://schemas.openxmlformats.org/officeDocument/2006/relationships/hyperlink" Target="mailto:kleiny@oregonstate.ed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8B9-434A-45C7-8A2D-6C18E9ED4F22}">
  <dimension ref="E5:S28"/>
  <sheetViews>
    <sheetView showGridLines="0" workbookViewId="0">
      <selection activeCell="E6" sqref="E6:K23"/>
    </sheetView>
  </sheetViews>
  <sheetFormatPr defaultRowHeight="14.4" x14ac:dyDescent="0.3"/>
  <cols>
    <col min="1" max="4" width="8.88671875" style="64"/>
    <col min="5" max="5" width="28" style="64" customWidth="1"/>
    <col min="6" max="6" width="15.6640625" style="64" customWidth="1"/>
    <col min="7" max="12" width="8.88671875" style="64"/>
    <col min="13" max="13" width="17.6640625" style="64" customWidth="1"/>
    <col min="14" max="16384" width="8.88671875" style="64"/>
  </cols>
  <sheetData>
    <row r="5" spans="5:19" ht="25.5" customHeight="1" x14ac:dyDescent="0.3"/>
    <row r="6" spans="5:19" ht="23.25" customHeight="1" x14ac:dyDescent="0.3">
      <c r="E6" s="107" t="s">
        <v>197</v>
      </c>
      <c r="F6" s="108"/>
      <c r="G6" s="108"/>
      <c r="H6" s="108"/>
      <c r="I6" s="108"/>
      <c r="J6" s="108"/>
      <c r="K6" s="109"/>
      <c r="M6" s="107" t="s">
        <v>197</v>
      </c>
      <c r="N6" s="108"/>
      <c r="O6" s="108"/>
      <c r="P6" s="108"/>
      <c r="Q6" s="108"/>
      <c r="R6" s="108"/>
      <c r="S6" s="109"/>
    </row>
    <row r="7" spans="5:19" ht="21" customHeight="1" x14ac:dyDescent="0.3">
      <c r="E7" s="110" t="s">
        <v>198</v>
      </c>
      <c r="F7" s="111"/>
      <c r="G7" s="112"/>
      <c r="H7" s="112"/>
      <c r="I7" s="112"/>
      <c r="J7" s="112"/>
      <c r="K7" s="113"/>
      <c r="M7" s="110" t="s">
        <v>198</v>
      </c>
      <c r="N7" s="111" t="s">
        <v>214</v>
      </c>
      <c r="O7" s="112"/>
      <c r="P7" s="112"/>
      <c r="Q7" s="112"/>
      <c r="R7" s="112"/>
      <c r="S7" s="113"/>
    </row>
    <row r="8" spans="5:19" ht="18.75" customHeight="1" x14ac:dyDescent="0.3">
      <c r="E8" s="110" t="s">
        <v>199</v>
      </c>
      <c r="F8" s="111"/>
      <c r="G8" s="112"/>
      <c r="H8" s="112"/>
      <c r="I8" s="112"/>
      <c r="J8" s="112"/>
      <c r="K8" s="113"/>
      <c r="M8" s="110" t="s">
        <v>199</v>
      </c>
      <c r="N8" s="111" t="s">
        <v>215</v>
      </c>
      <c r="O8" s="112"/>
      <c r="P8" s="112"/>
      <c r="Q8" s="112"/>
      <c r="R8" s="112"/>
      <c r="S8" s="113"/>
    </row>
    <row r="9" spans="5:19" ht="19.5" customHeight="1" x14ac:dyDescent="0.3">
      <c r="E9" s="110" t="s">
        <v>200</v>
      </c>
      <c r="F9" s="111"/>
      <c r="G9" s="112"/>
      <c r="H9" s="112"/>
      <c r="I9" s="112"/>
      <c r="J9" s="112"/>
      <c r="K9" s="113"/>
      <c r="M9" s="110" t="s">
        <v>200</v>
      </c>
      <c r="N9" s="111" t="s">
        <v>218</v>
      </c>
      <c r="O9" s="112"/>
      <c r="P9" s="112"/>
      <c r="Q9" s="112"/>
      <c r="R9" s="112"/>
      <c r="S9" s="113"/>
    </row>
    <row r="10" spans="5:19" ht="21" customHeight="1" x14ac:dyDescent="0.3">
      <c r="E10" s="110" t="s">
        <v>201</v>
      </c>
      <c r="F10" s="114"/>
      <c r="G10" s="112"/>
      <c r="H10" s="112"/>
      <c r="I10" s="112"/>
      <c r="J10" s="112"/>
      <c r="K10" s="113"/>
      <c r="M10" s="110" t="s">
        <v>201</v>
      </c>
      <c r="N10" s="114" t="s">
        <v>219</v>
      </c>
      <c r="O10" s="112"/>
      <c r="P10" s="112"/>
      <c r="Q10" s="112"/>
      <c r="R10" s="112"/>
      <c r="S10" s="113"/>
    </row>
    <row r="11" spans="5:19" ht="18" x14ac:dyDescent="0.35">
      <c r="E11" s="115" t="s">
        <v>202</v>
      </c>
      <c r="F11" s="116"/>
      <c r="G11" s="116"/>
      <c r="H11" s="116"/>
      <c r="I11" s="116"/>
      <c r="J11" s="116"/>
      <c r="K11" s="117"/>
      <c r="M11" s="107" t="s">
        <v>197</v>
      </c>
      <c r="N11" s="108"/>
      <c r="O11" s="108"/>
      <c r="P11" s="108"/>
      <c r="Q11" s="108"/>
      <c r="R11" s="108"/>
      <c r="S11" s="109"/>
    </row>
    <row r="12" spans="5:19" ht="18.75" customHeight="1" x14ac:dyDescent="0.3">
      <c r="E12" s="110" t="s">
        <v>198</v>
      </c>
      <c r="F12" s="111" t="s">
        <v>203</v>
      </c>
      <c r="G12" s="112"/>
      <c r="H12" s="112"/>
      <c r="I12" s="112"/>
      <c r="J12" s="112"/>
      <c r="K12" s="113"/>
      <c r="M12" s="110" t="s">
        <v>198</v>
      </c>
      <c r="N12" s="111" t="s">
        <v>216</v>
      </c>
      <c r="O12" s="112"/>
      <c r="P12" s="112"/>
      <c r="Q12" s="112"/>
      <c r="R12" s="112"/>
      <c r="S12" s="113"/>
    </row>
    <row r="13" spans="5:19" ht="18.75" customHeight="1" x14ac:dyDescent="0.3">
      <c r="E13" s="110" t="s">
        <v>199</v>
      </c>
      <c r="F13" s="111" t="s">
        <v>204</v>
      </c>
      <c r="G13" s="112"/>
      <c r="H13" s="112"/>
      <c r="I13" s="112"/>
      <c r="J13" s="112"/>
      <c r="K13" s="113"/>
      <c r="M13" s="110" t="s">
        <v>199</v>
      </c>
      <c r="N13" s="111" t="s">
        <v>220</v>
      </c>
      <c r="O13" s="112"/>
      <c r="P13" s="112"/>
      <c r="Q13" s="112"/>
      <c r="R13" s="112"/>
      <c r="S13" s="113"/>
    </row>
    <row r="14" spans="5:19" ht="18.75" customHeight="1" x14ac:dyDescent="0.3">
      <c r="E14" s="110" t="s">
        <v>205</v>
      </c>
      <c r="F14" s="111" t="s">
        <v>206</v>
      </c>
      <c r="G14" s="112"/>
      <c r="H14" s="112"/>
      <c r="I14" s="112"/>
      <c r="J14" s="112"/>
      <c r="K14" s="113"/>
      <c r="M14" s="110" t="s">
        <v>200</v>
      </c>
      <c r="N14" s="111" t="s">
        <v>217</v>
      </c>
      <c r="O14" s="112"/>
      <c r="P14" s="112"/>
      <c r="Q14" s="112"/>
      <c r="R14" s="112"/>
      <c r="S14" s="113"/>
    </row>
    <row r="15" spans="5:19" ht="18.75" customHeight="1" x14ac:dyDescent="0.3">
      <c r="E15" s="110" t="s">
        <v>201</v>
      </c>
      <c r="F15" s="114" t="s">
        <v>207</v>
      </c>
      <c r="G15" s="112"/>
      <c r="H15" s="112"/>
      <c r="I15" s="112"/>
      <c r="J15" s="112"/>
      <c r="K15" s="113"/>
      <c r="M15" s="110" t="s">
        <v>201</v>
      </c>
      <c r="N15" s="114" t="s">
        <v>221</v>
      </c>
      <c r="O15" s="112"/>
      <c r="P15" s="112"/>
      <c r="Q15" s="112"/>
      <c r="R15" s="112"/>
      <c r="S15" s="113"/>
    </row>
    <row r="16" spans="5:19" ht="18" x14ac:dyDescent="0.35">
      <c r="E16" s="115" t="s">
        <v>202</v>
      </c>
      <c r="F16" s="116"/>
      <c r="G16" s="116"/>
      <c r="H16" s="116"/>
      <c r="I16" s="116"/>
      <c r="J16" s="116"/>
      <c r="K16" s="117"/>
      <c r="M16" s="115" t="s">
        <v>202</v>
      </c>
      <c r="N16" s="116"/>
      <c r="O16" s="116"/>
      <c r="P16" s="116"/>
      <c r="Q16" s="116"/>
      <c r="R16" s="116"/>
      <c r="S16" s="117"/>
    </row>
    <row r="17" spans="5:19" ht="18.75" customHeight="1" x14ac:dyDescent="0.3">
      <c r="E17" s="118" t="s">
        <v>198</v>
      </c>
      <c r="F17" s="119" t="s">
        <v>208</v>
      </c>
      <c r="G17" s="120"/>
      <c r="H17" s="120"/>
      <c r="I17" s="120"/>
      <c r="J17" s="120"/>
      <c r="K17" s="121"/>
      <c r="M17" s="110" t="s">
        <v>198</v>
      </c>
      <c r="N17" s="111" t="s">
        <v>203</v>
      </c>
      <c r="O17" s="112"/>
      <c r="P17" s="112"/>
      <c r="Q17" s="112"/>
      <c r="R17" s="112"/>
      <c r="S17" s="113"/>
    </row>
    <row r="18" spans="5:19" ht="18.75" customHeight="1" x14ac:dyDescent="0.3">
      <c r="E18" s="118" t="s">
        <v>199</v>
      </c>
      <c r="F18" s="119" t="s">
        <v>209</v>
      </c>
      <c r="G18" s="120"/>
      <c r="H18" s="120"/>
      <c r="I18" s="120"/>
      <c r="J18" s="120"/>
      <c r="K18" s="121"/>
      <c r="M18" s="110" t="s">
        <v>199</v>
      </c>
      <c r="N18" s="111" t="s">
        <v>204</v>
      </c>
      <c r="O18" s="112"/>
      <c r="P18" s="112"/>
      <c r="Q18" s="112"/>
      <c r="R18" s="112"/>
      <c r="S18" s="113"/>
    </row>
    <row r="19" spans="5:19" ht="18.75" customHeight="1" x14ac:dyDescent="0.3">
      <c r="E19" s="118" t="s">
        <v>201</v>
      </c>
      <c r="F19" s="119" t="s">
        <v>210</v>
      </c>
      <c r="G19" s="120"/>
      <c r="H19" s="120"/>
      <c r="I19" s="120"/>
      <c r="J19" s="120"/>
      <c r="K19" s="121"/>
      <c r="M19" s="110" t="s">
        <v>205</v>
      </c>
      <c r="N19" s="111" t="s">
        <v>206</v>
      </c>
      <c r="O19" s="112"/>
      <c r="P19" s="112"/>
      <c r="Q19" s="112"/>
      <c r="R19" s="112"/>
      <c r="S19" s="113"/>
    </row>
    <row r="20" spans="5:19" ht="18" x14ac:dyDescent="0.35">
      <c r="E20" s="115" t="s">
        <v>202</v>
      </c>
      <c r="F20" s="116"/>
      <c r="G20" s="116"/>
      <c r="H20" s="116"/>
      <c r="I20" s="116"/>
      <c r="J20" s="116"/>
      <c r="K20" s="117"/>
      <c r="M20" s="110" t="s">
        <v>201</v>
      </c>
      <c r="N20" s="114" t="s">
        <v>207</v>
      </c>
      <c r="O20" s="112"/>
      <c r="P20" s="112"/>
      <c r="Q20" s="112"/>
      <c r="R20" s="112"/>
      <c r="S20" s="113"/>
    </row>
    <row r="21" spans="5:19" ht="18" x14ac:dyDescent="0.35">
      <c r="E21" s="118" t="s">
        <v>198</v>
      </c>
      <c r="F21" s="119" t="s">
        <v>211</v>
      </c>
      <c r="G21" s="120"/>
      <c r="H21" s="120"/>
      <c r="I21" s="120"/>
      <c r="J21" s="120"/>
      <c r="K21" s="121"/>
      <c r="M21" s="115" t="s">
        <v>202</v>
      </c>
      <c r="N21" s="116"/>
      <c r="O21" s="116"/>
      <c r="P21" s="116"/>
      <c r="Q21" s="116"/>
      <c r="R21" s="116"/>
      <c r="S21" s="117"/>
    </row>
    <row r="22" spans="5:19" x14ac:dyDescent="0.3">
      <c r="E22" s="118" t="s">
        <v>199</v>
      </c>
      <c r="F22" s="119" t="s">
        <v>212</v>
      </c>
      <c r="G22" s="120"/>
      <c r="H22" s="120"/>
      <c r="I22" s="120"/>
      <c r="J22" s="120"/>
      <c r="K22" s="121"/>
      <c r="M22" s="118" t="s">
        <v>198</v>
      </c>
      <c r="N22" s="119" t="s">
        <v>208</v>
      </c>
      <c r="O22" s="120"/>
      <c r="P22" s="120"/>
      <c r="Q22" s="120"/>
      <c r="R22" s="120"/>
      <c r="S22" s="121"/>
    </row>
    <row r="23" spans="5:19" x14ac:dyDescent="0.3">
      <c r="E23" s="118" t="s">
        <v>201</v>
      </c>
      <c r="F23" s="122" t="s">
        <v>213</v>
      </c>
      <c r="G23" s="120"/>
      <c r="H23" s="120"/>
      <c r="I23" s="120"/>
      <c r="J23" s="120"/>
      <c r="K23" s="121"/>
      <c r="M23" s="118" t="s">
        <v>199</v>
      </c>
      <c r="N23" s="119" t="s">
        <v>209</v>
      </c>
      <c r="O23" s="120"/>
      <c r="P23" s="120"/>
      <c r="Q23" s="120"/>
      <c r="R23" s="120"/>
      <c r="S23" s="121"/>
    </row>
    <row r="24" spans="5:19" x14ac:dyDescent="0.3">
      <c r="M24" s="118" t="s">
        <v>201</v>
      </c>
      <c r="N24" s="119" t="s">
        <v>210</v>
      </c>
      <c r="O24" s="120"/>
      <c r="P24" s="120"/>
      <c r="Q24" s="120"/>
      <c r="R24" s="120"/>
      <c r="S24" s="121"/>
    </row>
    <row r="25" spans="5:19" ht="18" x14ac:dyDescent="0.35">
      <c r="M25" s="115" t="s">
        <v>202</v>
      </c>
      <c r="N25" s="116"/>
      <c r="O25" s="116"/>
      <c r="P25" s="116"/>
      <c r="Q25" s="116"/>
      <c r="R25" s="116"/>
      <c r="S25" s="117"/>
    </row>
    <row r="26" spans="5:19" x14ac:dyDescent="0.3">
      <c r="M26" s="118" t="s">
        <v>198</v>
      </c>
      <c r="N26" s="119" t="s">
        <v>211</v>
      </c>
      <c r="O26" s="120"/>
      <c r="P26" s="120"/>
      <c r="Q26" s="120"/>
      <c r="R26" s="120"/>
      <c r="S26" s="121"/>
    </row>
    <row r="27" spans="5:19" x14ac:dyDescent="0.3">
      <c r="M27" s="118" t="s">
        <v>199</v>
      </c>
      <c r="N27" s="119" t="s">
        <v>212</v>
      </c>
      <c r="O27" s="120"/>
      <c r="P27" s="120"/>
      <c r="Q27" s="120"/>
      <c r="R27" s="120"/>
      <c r="S27" s="121"/>
    </row>
    <row r="28" spans="5:19" x14ac:dyDescent="0.3">
      <c r="M28" s="118" t="s">
        <v>201</v>
      </c>
      <c r="N28" s="122" t="s">
        <v>213</v>
      </c>
      <c r="O28" s="120"/>
      <c r="P28" s="120"/>
      <c r="Q28" s="120"/>
      <c r="R28" s="120"/>
      <c r="S28" s="121"/>
    </row>
  </sheetData>
  <hyperlinks>
    <hyperlink ref="F15" r:id="rId1" xr:uid="{6927012D-57EA-4858-B32F-8BAD4301DD51}"/>
    <hyperlink ref="N20" r:id="rId2" xr:uid="{9E3DF185-1181-484B-B83D-116CF51BBE8B}"/>
    <hyperlink ref="F23" r:id="rId3" xr:uid="{44B1C50B-DD7B-4368-AA1B-5442EE55930D}"/>
    <hyperlink ref="N28" r:id="rId4" xr:uid="{00B9F9D7-0CF7-4ED5-9424-207C358606D3}"/>
    <hyperlink ref="N10" r:id="rId5" xr:uid="{1DCCC9FB-2C03-4DF8-81CB-DB3A3E5A080E}"/>
    <hyperlink ref="N15" r:id="rId6" xr:uid="{73E201A5-39DE-4CCD-9187-1017D5B961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15A0-4C14-4C78-95EE-BAD09739D5E6}">
  <dimension ref="A1:S26"/>
  <sheetViews>
    <sheetView workbookViewId="0">
      <selection activeCell="N33" sqref="N33"/>
    </sheetView>
  </sheetViews>
  <sheetFormatPr defaultRowHeight="14.4" x14ac:dyDescent="0.3"/>
  <cols>
    <col min="1" max="1" width="11.109375" style="151" bestFit="1" customWidth="1"/>
    <col min="2" max="2" width="17.33203125" style="152" customWidth="1"/>
    <col min="3" max="3" width="20.5546875" style="153" bestFit="1" customWidth="1"/>
    <col min="4" max="4" width="8.88671875" style="154"/>
    <col min="5" max="9" width="8.88671875" style="152"/>
    <col min="10" max="10" width="12.33203125" style="152" customWidth="1"/>
    <col min="11" max="11" width="13.44140625" style="152" customWidth="1"/>
    <col min="12" max="12" width="12.5546875" style="152" customWidth="1"/>
    <col min="13" max="14" width="8.88671875" style="152"/>
    <col min="15" max="15" width="14.88671875" style="152" customWidth="1"/>
    <col min="16" max="16384" width="8.88671875" style="152"/>
  </cols>
  <sheetData>
    <row r="1" spans="1:19" x14ac:dyDescent="0.3">
      <c r="A1" s="151" t="s">
        <v>146</v>
      </c>
      <c r="B1" s="152" t="s">
        <v>145</v>
      </c>
      <c r="C1" s="153" t="s">
        <v>144</v>
      </c>
      <c r="D1" s="154" t="s">
        <v>143</v>
      </c>
    </row>
    <row r="2" spans="1:19" x14ac:dyDescent="0.3">
      <c r="A2" s="151">
        <v>44713</v>
      </c>
      <c r="B2" s="152">
        <v>6240</v>
      </c>
      <c r="C2" s="153">
        <v>62.75</v>
      </c>
      <c r="D2" s="154">
        <v>726</v>
      </c>
      <c r="J2" s="152" t="s">
        <v>142</v>
      </c>
      <c r="K2" s="152">
        <v>16513</v>
      </c>
      <c r="L2" s="152" t="s">
        <v>141</v>
      </c>
    </row>
    <row r="3" spans="1:19" ht="21" x14ac:dyDescent="0.4">
      <c r="A3" s="151">
        <v>44682</v>
      </c>
      <c r="B3" s="152">
        <v>6440</v>
      </c>
      <c r="C3" s="153">
        <v>54.98</v>
      </c>
      <c r="D3" s="154">
        <v>756</v>
      </c>
      <c r="J3" s="242" t="s">
        <v>140</v>
      </c>
      <c r="K3" s="242"/>
      <c r="L3" s="242"/>
    </row>
    <row r="4" spans="1:19" ht="21" x14ac:dyDescent="0.4">
      <c r="A4" s="151">
        <v>44652</v>
      </c>
      <c r="B4" s="152">
        <v>8640</v>
      </c>
      <c r="C4" s="153">
        <v>48.14</v>
      </c>
      <c r="D4" s="154">
        <v>931</v>
      </c>
      <c r="J4" s="155"/>
      <c r="K4" s="155" t="s">
        <v>71</v>
      </c>
      <c r="L4" s="155" t="s">
        <v>115</v>
      </c>
      <c r="P4" s="152" t="s">
        <v>139</v>
      </c>
    </row>
    <row r="5" spans="1:19" x14ac:dyDescent="0.3">
      <c r="A5" s="151">
        <v>44621</v>
      </c>
      <c r="B5" s="152">
        <v>11120</v>
      </c>
      <c r="C5" s="153">
        <v>49.22</v>
      </c>
      <c r="D5" s="154">
        <v>1136</v>
      </c>
      <c r="J5" s="151">
        <v>44531</v>
      </c>
      <c r="K5" s="152">
        <v>9400</v>
      </c>
      <c r="L5" s="154">
        <v>978</v>
      </c>
      <c r="P5" s="152">
        <f>K18</f>
        <v>124720</v>
      </c>
      <c r="Q5" s="152" t="s">
        <v>71</v>
      </c>
      <c r="S5" s="152" t="s">
        <v>138</v>
      </c>
    </row>
    <row r="6" spans="1:19" x14ac:dyDescent="0.3">
      <c r="A6" s="151">
        <v>44593</v>
      </c>
      <c r="B6" s="152">
        <v>11000</v>
      </c>
      <c r="C6" s="153">
        <v>44.07</v>
      </c>
      <c r="D6" s="154">
        <v>1167</v>
      </c>
      <c r="J6" s="151">
        <v>44501</v>
      </c>
      <c r="K6" s="152">
        <v>12840</v>
      </c>
      <c r="L6" s="154">
        <v>1266</v>
      </c>
      <c r="P6" s="156">
        <f>P5*3414/1000</f>
        <v>425794.08</v>
      </c>
      <c r="Q6" s="152" t="s">
        <v>137</v>
      </c>
      <c r="S6" s="152" t="s">
        <v>136</v>
      </c>
    </row>
    <row r="7" spans="1:19" x14ac:dyDescent="0.3">
      <c r="A7" s="151">
        <v>44562</v>
      </c>
      <c r="B7" s="152">
        <v>10680</v>
      </c>
      <c r="C7" s="153">
        <v>42.25</v>
      </c>
      <c r="D7" s="154">
        <v>1054</v>
      </c>
      <c r="J7" s="151">
        <v>44470</v>
      </c>
      <c r="K7" s="152">
        <v>10200</v>
      </c>
      <c r="L7" s="154">
        <v>1068</v>
      </c>
    </row>
    <row r="8" spans="1:19" x14ac:dyDescent="0.3">
      <c r="A8" s="151">
        <v>44531</v>
      </c>
      <c r="B8" s="152">
        <v>9400</v>
      </c>
      <c r="C8" s="153">
        <v>42.53</v>
      </c>
      <c r="D8" s="154">
        <v>978</v>
      </c>
      <c r="J8" s="151">
        <v>44440</v>
      </c>
      <c r="K8" s="152">
        <v>12720</v>
      </c>
      <c r="L8" s="154">
        <v>1190</v>
      </c>
    </row>
    <row r="9" spans="1:19" x14ac:dyDescent="0.3">
      <c r="A9" s="151">
        <v>44501</v>
      </c>
      <c r="B9" s="152">
        <v>12840</v>
      </c>
      <c r="C9" s="153">
        <v>50.68</v>
      </c>
      <c r="D9" s="154">
        <v>1266</v>
      </c>
      <c r="J9" s="151">
        <v>44409</v>
      </c>
      <c r="K9" s="152">
        <v>11360</v>
      </c>
      <c r="L9" s="154">
        <v>1130</v>
      </c>
      <c r="O9" s="152" t="s">
        <v>135</v>
      </c>
      <c r="P9" s="157">
        <f>P6/K2</f>
        <v>25.785386059468298</v>
      </c>
      <c r="Q9" s="152" t="s">
        <v>134</v>
      </c>
    </row>
    <row r="10" spans="1:19" x14ac:dyDescent="0.3">
      <c r="A10" s="151">
        <v>44470</v>
      </c>
      <c r="B10" s="152">
        <v>10200</v>
      </c>
      <c r="C10" s="153">
        <v>54.29</v>
      </c>
      <c r="D10" s="154">
        <v>1068</v>
      </c>
      <c r="J10" s="151">
        <v>44378</v>
      </c>
      <c r="K10" s="152">
        <v>12560</v>
      </c>
      <c r="L10" s="154">
        <v>1188</v>
      </c>
    </row>
    <row r="11" spans="1:19" x14ac:dyDescent="0.3">
      <c r="A11" s="151">
        <v>44440</v>
      </c>
      <c r="B11" s="152">
        <v>12720</v>
      </c>
      <c r="C11" s="153">
        <v>66.42</v>
      </c>
      <c r="D11" s="154">
        <v>1190</v>
      </c>
      <c r="J11" s="151">
        <v>44348</v>
      </c>
      <c r="K11" s="152">
        <v>9280</v>
      </c>
      <c r="L11" s="154">
        <v>923</v>
      </c>
    </row>
    <row r="12" spans="1:19" x14ac:dyDescent="0.3">
      <c r="A12" s="151">
        <v>44409</v>
      </c>
      <c r="B12" s="152">
        <v>11360</v>
      </c>
      <c r="C12" s="153">
        <v>73.45</v>
      </c>
      <c r="D12" s="154">
        <v>1130</v>
      </c>
      <c r="J12" s="151">
        <v>44317</v>
      </c>
      <c r="K12" s="152">
        <v>7960</v>
      </c>
      <c r="L12" s="154">
        <v>861</v>
      </c>
    </row>
    <row r="13" spans="1:19" x14ac:dyDescent="0.3">
      <c r="A13" s="151">
        <v>44378</v>
      </c>
      <c r="B13" s="152">
        <v>12560</v>
      </c>
      <c r="C13" s="153">
        <v>72.87</v>
      </c>
      <c r="D13" s="154">
        <v>1188</v>
      </c>
      <c r="J13" s="151">
        <v>44287</v>
      </c>
      <c r="K13" s="152">
        <v>7640</v>
      </c>
      <c r="L13" s="154">
        <v>837</v>
      </c>
    </row>
    <row r="14" spans="1:19" x14ac:dyDescent="0.3">
      <c r="A14" s="151">
        <v>44348</v>
      </c>
      <c r="B14" s="152">
        <v>9280</v>
      </c>
      <c r="C14" s="153">
        <v>68.81</v>
      </c>
      <c r="D14" s="154">
        <v>923</v>
      </c>
      <c r="J14" s="151">
        <v>44256</v>
      </c>
      <c r="K14" s="152">
        <v>9960</v>
      </c>
      <c r="L14" s="154">
        <v>1024</v>
      </c>
    </row>
    <row r="15" spans="1:19" x14ac:dyDescent="0.3">
      <c r="A15" s="151">
        <v>44317</v>
      </c>
      <c r="B15" s="152">
        <v>7960</v>
      </c>
      <c r="C15" s="153">
        <v>58.6</v>
      </c>
      <c r="D15" s="154">
        <v>861</v>
      </c>
      <c r="J15" s="151">
        <v>44228</v>
      </c>
      <c r="K15" s="152">
        <v>10120</v>
      </c>
      <c r="L15" s="154">
        <v>1053</v>
      </c>
    </row>
    <row r="16" spans="1:19" x14ac:dyDescent="0.3">
      <c r="A16" s="151">
        <v>44287</v>
      </c>
      <c r="B16" s="152">
        <v>7640</v>
      </c>
      <c r="C16" s="153">
        <v>52.86</v>
      </c>
      <c r="D16" s="154">
        <v>837</v>
      </c>
      <c r="J16" s="151">
        <v>44197</v>
      </c>
      <c r="K16" s="152">
        <v>10680</v>
      </c>
      <c r="L16" s="154">
        <v>1108</v>
      </c>
    </row>
    <row r="17" spans="1:12" x14ac:dyDescent="0.3">
      <c r="A17" s="151">
        <v>44256</v>
      </c>
      <c r="B17" s="152">
        <v>9960</v>
      </c>
      <c r="C17" s="153">
        <v>44.38</v>
      </c>
      <c r="D17" s="154">
        <v>1024</v>
      </c>
    </row>
    <row r="18" spans="1:12" x14ac:dyDescent="0.3">
      <c r="A18" s="151">
        <v>44228</v>
      </c>
      <c r="B18" s="152">
        <v>10120</v>
      </c>
      <c r="C18" s="153">
        <v>42.71</v>
      </c>
      <c r="D18" s="154">
        <v>1053</v>
      </c>
      <c r="K18" s="152">
        <f>SUM(K5:K17)</f>
        <v>124720</v>
      </c>
      <c r="L18" s="154">
        <f>SUM(L5:L17)</f>
        <v>12626</v>
      </c>
    </row>
    <row r="19" spans="1:12" x14ac:dyDescent="0.3">
      <c r="A19" s="151">
        <v>44197</v>
      </c>
      <c r="B19" s="152">
        <v>10680</v>
      </c>
      <c r="C19" s="153">
        <v>43.32</v>
      </c>
      <c r="D19" s="154">
        <v>1108</v>
      </c>
    </row>
    <row r="20" spans="1:12" x14ac:dyDescent="0.3">
      <c r="A20" s="151">
        <v>44166</v>
      </c>
      <c r="B20" s="152">
        <v>10560</v>
      </c>
      <c r="C20" s="153">
        <v>42.43</v>
      </c>
      <c r="D20" s="154">
        <v>1149</v>
      </c>
      <c r="K20" s="158" t="s">
        <v>249</v>
      </c>
      <c r="L20" s="154">
        <f>L18/K18</f>
        <v>0.10123476587556125</v>
      </c>
    </row>
    <row r="21" spans="1:12" x14ac:dyDescent="0.3">
      <c r="A21" s="151">
        <v>44136</v>
      </c>
      <c r="B21" s="152">
        <v>11600</v>
      </c>
      <c r="C21" s="153">
        <v>45.01</v>
      </c>
      <c r="D21" s="154">
        <v>1170</v>
      </c>
      <c r="K21" s="152" t="s">
        <v>70</v>
      </c>
      <c r="L21" s="157" t="s">
        <v>70</v>
      </c>
    </row>
    <row r="22" spans="1:12" x14ac:dyDescent="0.3">
      <c r="A22" s="151">
        <v>44105</v>
      </c>
      <c r="B22" s="152">
        <v>7560</v>
      </c>
      <c r="C22" s="153">
        <v>55.57</v>
      </c>
      <c r="D22" s="154">
        <v>845</v>
      </c>
    </row>
    <row r="23" spans="1:12" x14ac:dyDescent="0.3">
      <c r="A23" s="151">
        <v>44075</v>
      </c>
      <c r="B23" s="152">
        <v>6400</v>
      </c>
      <c r="C23" s="153">
        <v>65.03</v>
      </c>
      <c r="D23" s="154">
        <v>760</v>
      </c>
    </row>
    <row r="24" spans="1:12" x14ac:dyDescent="0.3">
      <c r="A24" s="151">
        <v>44044</v>
      </c>
      <c r="B24" s="152">
        <v>8400</v>
      </c>
      <c r="C24" s="153">
        <v>70.260000000000005</v>
      </c>
      <c r="D24" s="154">
        <v>895</v>
      </c>
    </row>
    <row r="25" spans="1:12" x14ac:dyDescent="0.3">
      <c r="A25" s="151">
        <v>44013</v>
      </c>
      <c r="B25" s="152">
        <v>9640</v>
      </c>
      <c r="C25" s="153">
        <v>67.59</v>
      </c>
      <c r="D25" s="154">
        <v>1011</v>
      </c>
    </row>
    <row r="26" spans="1:12" x14ac:dyDescent="0.3">
      <c r="A26" s="151">
        <v>43983</v>
      </c>
      <c r="B26" s="152">
        <v>7600</v>
      </c>
      <c r="C26" s="153">
        <v>61.84</v>
      </c>
      <c r="D26" s="154">
        <v>857</v>
      </c>
    </row>
  </sheetData>
  <mergeCells count="1">
    <mergeCell ref="J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C21-6469-41E1-BF9F-26D552B74E7A}">
  <dimension ref="F4:P41"/>
  <sheetViews>
    <sheetView showGridLines="0" workbookViewId="0">
      <selection activeCell="N32" sqref="N32"/>
    </sheetView>
  </sheetViews>
  <sheetFormatPr defaultColWidth="9.109375" defaultRowHeight="13.8" x14ac:dyDescent="0.3"/>
  <cols>
    <col min="1" max="5" width="9.109375" style="161"/>
    <col min="6" max="6" width="12.33203125" style="159" customWidth="1"/>
    <col min="7" max="7" width="17" style="160" customWidth="1"/>
    <col min="8" max="8" width="17.109375" style="161" customWidth="1"/>
    <col min="9" max="9" width="17" style="161" customWidth="1"/>
    <col min="10" max="10" width="18" style="161" customWidth="1"/>
    <col min="11" max="11" width="15.109375" style="161" customWidth="1"/>
    <col min="12" max="12" width="12.109375" style="161" customWidth="1"/>
    <col min="13" max="13" width="9.109375" style="161"/>
    <col min="14" max="14" width="16.6640625" style="161" customWidth="1"/>
    <col min="15" max="16384" width="9.109375" style="161"/>
  </cols>
  <sheetData>
    <row r="4" spans="6:16" ht="14.4" thickBot="1" x14ac:dyDescent="0.35"/>
    <row r="5" spans="6:16" ht="14.4" x14ac:dyDescent="0.3">
      <c r="F5" s="194" t="s">
        <v>250</v>
      </c>
      <c r="G5" s="195"/>
      <c r="H5" s="195"/>
      <c r="I5" s="195"/>
      <c r="J5" s="195"/>
      <c r="K5" s="195"/>
      <c r="L5" s="196"/>
    </row>
    <row r="6" spans="6:16" ht="14.4" x14ac:dyDescent="0.3">
      <c r="F6" s="162" t="s">
        <v>251</v>
      </c>
      <c r="G6" s="163" t="s">
        <v>71</v>
      </c>
      <c r="H6" s="163" t="s">
        <v>252</v>
      </c>
      <c r="I6" s="163" t="s">
        <v>253</v>
      </c>
      <c r="J6" s="163" t="s">
        <v>73</v>
      </c>
      <c r="K6" s="163" t="s">
        <v>254</v>
      </c>
      <c r="L6" s="164" t="s">
        <v>255</v>
      </c>
    </row>
    <row r="7" spans="6:16" ht="15" customHeight="1" x14ac:dyDescent="0.3">
      <c r="F7" s="165" t="s">
        <v>256</v>
      </c>
      <c r="G7" s="166">
        <v>9400</v>
      </c>
      <c r="H7" s="166">
        <v>978</v>
      </c>
      <c r="I7" s="167">
        <f>H7/G7</f>
        <v>0.10404255319148936</v>
      </c>
      <c r="J7" s="166">
        <v>36</v>
      </c>
      <c r="K7" s="168">
        <v>228</v>
      </c>
      <c r="L7" s="168">
        <v>110</v>
      </c>
    </row>
    <row r="8" spans="6:16" ht="14.4" x14ac:dyDescent="0.3">
      <c r="F8" s="165" t="s">
        <v>257</v>
      </c>
      <c r="G8" s="166">
        <v>12840</v>
      </c>
      <c r="H8" s="166">
        <v>1266</v>
      </c>
      <c r="I8" s="167">
        <f>H8/G8</f>
        <v>9.8598130841121498E-2</v>
      </c>
      <c r="J8" s="166">
        <v>40</v>
      </c>
      <c r="K8" s="168">
        <v>226</v>
      </c>
      <c r="L8" s="168">
        <v>110</v>
      </c>
    </row>
    <row r="9" spans="6:16" ht="14.4" x14ac:dyDescent="0.3">
      <c r="F9" s="165" t="s">
        <v>258</v>
      </c>
      <c r="G9" s="166">
        <v>10200</v>
      </c>
      <c r="H9" s="166">
        <v>1068</v>
      </c>
      <c r="I9" s="167">
        <f t="shared" ref="I9:I17" si="0">H9/G9</f>
        <v>0.10470588235294118</v>
      </c>
      <c r="J9" s="166">
        <v>46</v>
      </c>
      <c r="K9" s="168">
        <v>228</v>
      </c>
      <c r="L9" s="168">
        <v>110</v>
      </c>
    </row>
    <row r="10" spans="6:16" ht="14.4" x14ac:dyDescent="0.3">
      <c r="F10" s="165" t="s">
        <v>259</v>
      </c>
      <c r="G10" s="166">
        <v>12720</v>
      </c>
      <c r="H10" s="166">
        <v>1190</v>
      </c>
      <c r="I10" s="167">
        <f t="shared" si="0"/>
        <v>9.3553459119496848E-2</v>
      </c>
      <c r="J10" s="166">
        <v>40</v>
      </c>
      <c r="K10" s="168">
        <v>226</v>
      </c>
      <c r="L10" s="168">
        <v>110</v>
      </c>
      <c r="N10" s="161" t="s">
        <v>260</v>
      </c>
    </row>
    <row r="11" spans="6:16" ht="14.4" x14ac:dyDescent="0.3">
      <c r="F11" s="165" t="s">
        <v>261</v>
      </c>
      <c r="G11" s="166">
        <v>11360</v>
      </c>
      <c r="H11" s="166">
        <v>1130</v>
      </c>
      <c r="I11" s="167">
        <f t="shared" si="0"/>
        <v>9.9471830985915499E-2</v>
      </c>
      <c r="J11" s="166">
        <v>36</v>
      </c>
      <c r="K11" s="168">
        <v>228</v>
      </c>
      <c r="L11" s="168">
        <v>110</v>
      </c>
      <c r="N11" s="169" t="s">
        <v>78</v>
      </c>
      <c r="O11" s="170">
        <f>K19/J19</f>
        <v>5.8961038961038961</v>
      </c>
      <c r="P11" s="169" t="s">
        <v>79</v>
      </c>
    </row>
    <row r="12" spans="6:16" ht="14.4" x14ac:dyDescent="0.3">
      <c r="F12" s="165" t="s">
        <v>262</v>
      </c>
      <c r="G12" s="166">
        <v>12560</v>
      </c>
      <c r="H12" s="166">
        <v>1188</v>
      </c>
      <c r="I12" s="167">
        <f t="shared" si="0"/>
        <v>9.4585987261146504E-2</v>
      </c>
      <c r="J12" s="166">
        <v>36</v>
      </c>
      <c r="K12" s="168">
        <v>226</v>
      </c>
      <c r="L12" s="168">
        <v>110</v>
      </c>
    </row>
    <row r="13" spans="6:16" ht="14.4" x14ac:dyDescent="0.3">
      <c r="F13" s="165" t="s">
        <v>263</v>
      </c>
      <c r="G13" s="166">
        <v>9280</v>
      </c>
      <c r="H13" s="166">
        <v>923</v>
      </c>
      <c r="I13" s="167">
        <f t="shared" si="0"/>
        <v>9.9461206896551718E-2</v>
      </c>
      <c r="J13" s="166">
        <v>36</v>
      </c>
      <c r="K13" s="168">
        <v>228</v>
      </c>
      <c r="L13" s="168">
        <v>110</v>
      </c>
    </row>
    <row r="14" spans="6:16" ht="14.4" x14ac:dyDescent="0.3">
      <c r="F14" s="165" t="s">
        <v>264</v>
      </c>
      <c r="G14" s="166">
        <v>7960</v>
      </c>
      <c r="H14" s="166">
        <v>861</v>
      </c>
      <c r="I14" s="167">
        <f t="shared" si="0"/>
        <v>0.10816582914572864</v>
      </c>
      <c r="J14" s="166">
        <v>40</v>
      </c>
      <c r="K14" s="168">
        <v>226</v>
      </c>
      <c r="L14" s="168">
        <v>110</v>
      </c>
    </row>
    <row r="15" spans="6:16" ht="14.4" x14ac:dyDescent="0.3">
      <c r="F15" s="165" t="s">
        <v>265</v>
      </c>
      <c r="G15" s="166">
        <v>7640</v>
      </c>
      <c r="H15" s="166">
        <v>837</v>
      </c>
      <c r="I15" s="167">
        <f t="shared" si="0"/>
        <v>0.10955497382198953</v>
      </c>
      <c r="J15" s="166">
        <v>40</v>
      </c>
      <c r="K15" s="168">
        <v>228</v>
      </c>
      <c r="L15" s="168">
        <v>110</v>
      </c>
    </row>
    <row r="16" spans="6:16" ht="14.4" x14ac:dyDescent="0.3">
      <c r="F16" s="165" t="s">
        <v>266</v>
      </c>
      <c r="G16" s="166">
        <v>9960</v>
      </c>
      <c r="H16" s="166">
        <v>1024</v>
      </c>
      <c r="I16" s="167">
        <f t="shared" si="0"/>
        <v>0.10281124497991968</v>
      </c>
      <c r="J16" s="166">
        <v>36</v>
      </c>
      <c r="K16" s="168">
        <v>226</v>
      </c>
      <c r="L16" s="168">
        <v>110</v>
      </c>
    </row>
    <row r="17" spans="6:12" ht="14.4" x14ac:dyDescent="0.3">
      <c r="F17" s="165" t="s">
        <v>267</v>
      </c>
      <c r="G17" s="166">
        <v>10120</v>
      </c>
      <c r="H17" s="166">
        <v>1053</v>
      </c>
      <c r="I17" s="167">
        <f t="shared" si="0"/>
        <v>0.10405138339920948</v>
      </c>
      <c r="J17" s="166">
        <v>40</v>
      </c>
      <c r="K17" s="168">
        <v>228</v>
      </c>
      <c r="L17" s="168">
        <v>110</v>
      </c>
    </row>
    <row r="18" spans="6:12" ht="14.4" x14ac:dyDescent="0.3">
      <c r="F18" s="165" t="s">
        <v>268</v>
      </c>
      <c r="G18" s="166">
        <v>10680</v>
      </c>
      <c r="H18" s="166">
        <v>1108</v>
      </c>
      <c r="I18" s="167">
        <f>H18/G18</f>
        <v>0.10374531835205993</v>
      </c>
      <c r="J18" s="166">
        <v>36</v>
      </c>
      <c r="K18" s="168">
        <v>226</v>
      </c>
      <c r="L18" s="168">
        <v>110</v>
      </c>
    </row>
    <row r="19" spans="6:12" ht="14.4" thickBot="1" x14ac:dyDescent="0.35">
      <c r="F19" s="171" t="s">
        <v>269</v>
      </c>
      <c r="G19" s="172">
        <f>SUM(G7:G18)</f>
        <v>124720</v>
      </c>
      <c r="H19" s="173">
        <f>SUM(H7:H18)</f>
        <v>12626</v>
      </c>
      <c r="I19" s="173">
        <f>H19/G19</f>
        <v>0.10123476587556125</v>
      </c>
      <c r="J19" s="174">
        <f>SUM(J7:J18)</f>
        <v>462</v>
      </c>
      <c r="K19" s="173">
        <f>SUM(K7:K18)</f>
        <v>2724</v>
      </c>
      <c r="L19" s="175">
        <f>SUM(L7:L18)</f>
        <v>1320</v>
      </c>
    </row>
    <row r="20" spans="6:12" x14ac:dyDescent="0.3">
      <c r="G20" s="159"/>
    </row>
    <row r="22" spans="6:12" ht="14.4" thickBot="1" x14ac:dyDescent="0.35"/>
    <row r="23" spans="6:12" ht="14.4" x14ac:dyDescent="0.3">
      <c r="F23" s="194" t="s">
        <v>270</v>
      </c>
      <c r="G23" s="195"/>
      <c r="H23" s="195"/>
      <c r="I23" s="195"/>
      <c r="J23" s="195"/>
      <c r="K23" s="196"/>
    </row>
    <row r="24" spans="6:12" ht="14.4" x14ac:dyDescent="0.3">
      <c r="F24" s="162" t="s">
        <v>251</v>
      </c>
      <c r="G24" s="162" t="s">
        <v>93</v>
      </c>
      <c r="H24" s="162" t="s">
        <v>115</v>
      </c>
      <c r="I24" s="162" t="s">
        <v>271</v>
      </c>
      <c r="J24" s="162" t="s">
        <v>152</v>
      </c>
      <c r="K24" s="176" t="s">
        <v>158</v>
      </c>
    </row>
    <row r="25" spans="6:12" ht="14.4" x14ac:dyDescent="0.3">
      <c r="F25" s="165" t="s">
        <v>256</v>
      </c>
      <c r="G25" s="177">
        <v>223.1</v>
      </c>
      <c r="H25" s="178">
        <v>178.97</v>
      </c>
      <c r="I25" s="179">
        <f>H25/G25</f>
        <v>0.80219632451815326</v>
      </c>
      <c r="J25" s="178">
        <f>15+13.13+29.87</f>
        <v>58</v>
      </c>
      <c r="K25" s="180">
        <f>H25+J25</f>
        <v>236.97</v>
      </c>
    </row>
    <row r="26" spans="6:12" ht="14.4" x14ac:dyDescent="0.3">
      <c r="F26" s="165" t="s">
        <v>257</v>
      </c>
      <c r="G26" s="177">
        <v>254.7</v>
      </c>
      <c r="H26" s="178">
        <v>204.32</v>
      </c>
      <c r="I26" s="179">
        <f t="shared" ref="I26:I35" si="1">H26/G26</f>
        <v>0.80219866509619164</v>
      </c>
      <c r="J26" s="178">
        <f>15+11.66-36.32+26.53</f>
        <v>16.87</v>
      </c>
      <c r="K26" s="180">
        <f t="shared" ref="K26:K36" si="2">H26+J26</f>
        <v>221.19</v>
      </c>
    </row>
    <row r="27" spans="6:12" ht="14.4" x14ac:dyDescent="0.3">
      <c r="F27" s="165" t="s">
        <v>258</v>
      </c>
      <c r="G27" s="177">
        <v>66.2</v>
      </c>
      <c r="H27" s="178">
        <v>53.1</v>
      </c>
      <c r="I27" s="179">
        <f t="shared" si="1"/>
        <v>0.80211480362537768</v>
      </c>
      <c r="J27" s="178">
        <f>15+8.99+20.46</f>
        <v>44.45</v>
      </c>
      <c r="K27" s="180">
        <f t="shared" si="2"/>
        <v>97.550000000000011</v>
      </c>
    </row>
    <row r="28" spans="6:12" ht="14.4" x14ac:dyDescent="0.3">
      <c r="F28" s="165" t="s">
        <v>259</v>
      </c>
      <c r="G28" s="177">
        <v>18.899999999999999</v>
      </c>
      <c r="H28" s="178">
        <v>15.16</v>
      </c>
      <c r="I28" s="179">
        <f t="shared" si="1"/>
        <v>0.80211640211640223</v>
      </c>
      <c r="J28" s="178">
        <f>15+5.29+12.02</f>
        <v>32.31</v>
      </c>
      <c r="K28" s="180">
        <f t="shared" si="2"/>
        <v>47.47</v>
      </c>
    </row>
    <row r="29" spans="6:12" ht="14.4" x14ac:dyDescent="0.3">
      <c r="F29" s="165" t="s">
        <v>261</v>
      </c>
      <c r="G29" s="177">
        <v>9.6</v>
      </c>
      <c r="H29" s="178">
        <v>7.7</v>
      </c>
      <c r="I29" s="179">
        <f t="shared" si="1"/>
        <v>0.80208333333333337</v>
      </c>
      <c r="J29" s="178">
        <f>15+3.98+9.06</f>
        <v>28.04</v>
      </c>
      <c r="K29" s="180">
        <f t="shared" si="2"/>
        <v>35.74</v>
      </c>
    </row>
    <row r="30" spans="6:12" ht="14.4" x14ac:dyDescent="0.3">
      <c r="F30" s="165" t="s">
        <v>262</v>
      </c>
      <c r="G30" s="177">
        <v>798.4</v>
      </c>
      <c r="H30" s="178">
        <v>640.47</v>
      </c>
      <c r="I30" s="179">
        <f t="shared" si="1"/>
        <v>0.80219188376753514</v>
      </c>
      <c r="J30" s="178">
        <f>15+1.16+2.65</f>
        <v>18.809999999999999</v>
      </c>
      <c r="K30" s="180">
        <f t="shared" si="2"/>
        <v>659.28</v>
      </c>
    </row>
    <row r="31" spans="6:12" ht="14.4" x14ac:dyDescent="0.3">
      <c r="F31" s="165" t="s">
        <v>263</v>
      </c>
      <c r="G31" s="177">
        <v>757</v>
      </c>
      <c r="H31" s="178">
        <v>607.26</v>
      </c>
      <c r="I31" s="179">
        <f t="shared" si="1"/>
        <v>0.80219286657859967</v>
      </c>
      <c r="J31" s="178">
        <f>15+0.32+0.73</f>
        <v>16.05</v>
      </c>
      <c r="K31" s="180">
        <f t="shared" si="2"/>
        <v>623.30999999999995</v>
      </c>
    </row>
    <row r="32" spans="6:12" ht="14.4" x14ac:dyDescent="0.3">
      <c r="F32" s="165" t="s">
        <v>264</v>
      </c>
      <c r="G32" s="177">
        <v>146.9</v>
      </c>
      <c r="H32" s="178">
        <v>117.84</v>
      </c>
      <c r="I32" s="179">
        <f t="shared" si="1"/>
        <v>0.80217835262083048</v>
      </c>
      <c r="J32" s="178">
        <f>15+0.32+0.73</f>
        <v>16.05</v>
      </c>
      <c r="K32" s="180">
        <f t="shared" si="2"/>
        <v>133.89000000000001</v>
      </c>
    </row>
    <row r="33" spans="6:11" ht="14.4" x14ac:dyDescent="0.3">
      <c r="F33" s="165" t="s">
        <v>265</v>
      </c>
      <c r="G33" s="177">
        <v>113.1</v>
      </c>
      <c r="H33" s="178">
        <v>90.73</v>
      </c>
      <c r="I33" s="179">
        <f t="shared" si="1"/>
        <v>0.80221043324491603</v>
      </c>
      <c r="J33" s="178">
        <f>15+0.34+0.77</f>
        <v>16.11</v>
      </c>
      <c r="K33" s="180">
        <f t="shared" si="2"/>
        <v>106.84</v>
      </c>
    </row>
    <row r="34" spans="6:11" ht="14.4" x14ac:dyDescent="0.3">
      <c r="F34" s="165" t="s">
        <v>266</v>
      </c>
      <c r="G34" s="177">
        <v>255.5</v>
      </c>
      <c r="H34" s="178">
        <v>204.96</v>
      </c>
      <c r="I34" s="179">
        <f t="shared" si="1"/>
        <v>0.80219178082191789</v>
      </c>
      <c r="J34" s="178">
        <f>15+0.55+1.24</f>
        <v>16.79</v>
      </c>
      <c r="K34" s="180">
        <f t="shared" si="2"/>
        <v>221.75</v>
      </c>
    </row>
    <row r="35" spans="6:11" ht="14.4" x14ac:dyDescent="0.3">
      <c r="F35" s="165" t="s">
        <v>267</v>
      </c>
      <c r="G35" s="177">
        <f>'[1]2021 Natural Gas'!E19+'[1]2021 Natural Gas'!E20</f>
        <v>921.5</v>
      </c>
      <c r="H35" s="178">
        <f>'[1]2021 Natural Gas'!F19+'[1]2021 Natural Gas'!F20</f>
        <v>796.26</v>
      </c>
      <c r="I35" s="179">
        <f t="shared" si="1"/>
        <v>0.86409115572436246</v>
      </c>
      <c r="J35" s="178">
        <f>+'[1]2021 Natural Gas'!H18+'[1]2021 Natural Gas'!H19+'[1]2021 Natural Gas'!G19+'[1]2021 Natural Gas'!G20</f>
        <v>61.93</v>
      </c>
      <c r="K35" s="180">
        <f t="shared" si="2"/>
        <v>858.18999999999994</v>
      </c>
    </row>
    <row r="36" spans="6:11" ht="14.4" x14ac:dyDescent="0.3">
      <c r="F36" s="165" t="s">
        <v>268</v>
      </c>
      <c r="G36" s="177">
        <v>381.3</v>
      </c>
      <c r="H36" s="178">
        <v>362.92</v>
      </c>
      <c r="I36" s="179">
        <f>H36/G36</f>
        <v>0.95179648570679254</v>
      </c>
      <c r="J36" s="178">
        <f>15+12.37+28.15</f>
        <v>55.519999999999996</v>
      </c>
      <c r="K36" s="180">
        <f t="shared" si="2"/>
        <v>418.44</v>
      </c>
    </row>
    <row r="37" spans="6:11" ht="14.4" thickBot="1" x14ac:dyDescent="0.35">
      <c r="F37" s="171" t="s">
        <v>269</v>
      </c>
      <c r="G37" s="181">
        <f>SUM(G25:G36)</f>
        <v>3946.2000000000003</v>
      </c>
      <c r="H37" s="173">
        <f>SUM(H25:H36)</f>
        <v>3279.6899999999996</v>
      </c>
      <c r="I37" s="173">
        <f>H37/G37</f>
        <v>0.83110080583852808</v>
      </c>
      <c r="J37" s="173">
        <f>SUM(J25:J36)</f>
        <v>380.93</v>
      </c>
      <c r="K37" s="175">
        <f>SUM(K25:K36)</f>
        <v>3660.6200000000003</v>
      </c>
    </row>
    <row r="38" spans="6:11" x14ac:dyDescent="0.3">
      <c r="F38" s="161"/>
    </row>
    <row r="39" spans="6:11" x14ac:dyDescent="0.3">
      <c r="F39" s="161"/>
    </row>
    <row r="41" spans="6:11" x14ac:dyDescent="0.3">
      <c r="G41" s="160" t="s">
        <v>70</v>
      </c>
    </row>
  </sheetData>
  <mergeCells count="2">
    <mergeCell ref="F5:L5"/>
    <mergeCell ref="F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AC2C-E6CF-4533-916E-0C1CA0B17357}">
  <dimension ref="E2:L31"/>
  <sheetViews>
    <sheetView showGridLines="0" workbookViewId="0">
      <selection activeCell="E4" sqref="E4:L13"/>
    </sheetView>
  </sheetViews>
  <sheetFormatPr defaultColWidth="9.109375" defaultRowHeight="14.4" x14ac:dyDescent="0.3"/>
  <cols>
    <col min="1" max="3" width="9.109375" style="11"/>
    <col min="4" max="4" width="3.44140625" style="11" customWidth="1"/>
    <col min="5" max="5" width="14" style="11" customWidth="1"/>
    <col min="6" max="6" width="31.6640625" style="11" customWidth="1"/>
    <col min="7" max="8" width="14.44140625" style="11" customWidth="1"/>
    <col min="9" max="9" width="13.44140625" style="11" customWidth="1"/>
    <col min="10" max="10" width="15" style="11" customWidth="1"/>
    <col min="11" max="11" width="12.5546875" style="11" bestFit="1" customWidth="1"/>
    <col min="12" max="12" width="24.33203125" style="11" customWidth="1"/>
    <col min="13" max="16384" width="9.109375" style="11"/>
  </cols>
  <sheetData>
    <row r="2" spans="5:12" ht="18" x14ac:dyDescent="0.35">
      <c r="E2" s="10" t="s">
        <v>83</v>
      </c>
    </row>
    <row r="3" spans="5:12" ht="15" thickBot="1" x14ac:dyDescent="0.35"/>
    <row r="4" spans="5:12" ht="15.6" x14ac:dyDescent="0.3">
      <c r="E4" s="197" t="s">
        <v>84</v>
      </c>
      <c r="F4" s="200" t="s">
        <v>85</v>
      </c>
      <c r="G4" s="203" t="s">
        <v>86</v>
      </c>
      <c r="H4" s="204"/>
      <c r="I4" s="204"/>
      <c r="J4" s="205"/>
      <c r="K4" s="203" t="s">
        <v>87</v>
      </c>
      <c r="L4" s="205"/>
    </row>
    <row r="5" spans="5:12" ht="31.2" x14ac:dyDescent="0.3">
      <c r="E5" s="198"/>
      <c r="F5" s="201"/>
      <c r="G5" s="206" t="s">
        <v>88</v>
      </c>
      <c r="H5" s="207"/>
      <c r="I5" s="12" t="s">
        <v>89</v>
      </c>
      <c r="J5" s="13" t="s">
        <v>90</v>
      </c>
      <c r="K5" s="14" t="s">
        <v>91</v>
      </c>
      <c r="L5" s="15" t="s">
        <v>92</v>
      </c>
    </row>
    <row r="6" spans="5:12" ht="15.6" x14ac:dyDescent="0.3">
      <c r="E6" s="199"/>
      <c r="F6" s="202"/>
      <c r="G6" s="16" t="s">
        <v>71</v>
      </c>
      <c r="H6" s="17" t="s">
        <v>73</v>
      </c>
      <c r="I6" s="18" t="s">
        <v>93</v>
      </c>
      <c r="J6" s="19" t="s">
        <v>70</v>
      </c>
      <c r="K6" s="20"/>
      <c r="L6" s="21" t="s">
        <v>94</v>
      </c>
    </row>
    <row r="7" spans="5:12" ht="15.6" x14ac:dyDescent="0.3">
      <c r="E7" s="22" t="s">
        <v>95</v>
      </c>
      <c r="F7" s="23" t="s">
        <v>246</v>
      </c>
      <c r="G7" s="24">
        <f>'EEM #1 Lighting Upgrade  '!D34</f>
        <v>30258</v>
      </c>
      <c r="H7" s="25">
        <f>'EEM #1 Lighting Upgrade  '!D33</f>
        <v>10.086</v>
      </c>
      <c r="I7" s="26" t="s">
        <v>96</v>
      </c>
      <c r="J7" s="27">
        <f>'EEM #1 Lighting Upgrade  '!O52</f>
        <v>3122.6296497588364</v>
      </c>
      <c r="K7" s="28">
        <f>'EEM #1 Lighting Upgrade  '!M28</f>
        <v>37260</v>
      </c>
      <c r="L7" s="29">
        <f>K7/J7</f>
        <v>11.932250756306507</v>
      </c>
    </row>
    <row r="8" spans="5:12" ht="15.6" x14ac:dyDescent="0.3">
      <c r="E8" s="22" t="s">
        <v>97</v>
      </c>
      <c r="F8" s="23" t="s">
        <v>105</v>
      </c>
      <c r="G8" s="24">
        <f>'EEM #2  Occupancy Sensors'!L31</f>
        <v>6750</v>
      </c>
      <c r="H8" s="25" t="s">
        <v>96</v>
      </c>
      <c r="I8" s="26" t="s">
        <v>96</v>
      </c>
      <c r="J8" s="27">
        <f>'EEM #2  Occupancy Sensors'!L32</f>
        <v>683.33466966003846</v>
      </c>
      <c r="K8" s="28">
        <f>'EEM #2  Occupancy Sensors'!P30</f>
        <v>3000</v>
      </c>
      <c r="L8" s="29">
        <f>K8/J8</f>
        <v>4.390235316894592</v>
      </c>
    </row>
    <row r="9" spans="5:12" ht="15.6" x14ac:dyDescent="0.3">
      <c r="E9" s="22" t="s">
        <v>98</v>
      </c>
      <c r="F9" s="23" t="s">
        <v>247</v>
      </c>
      <c r="G9" s="24">
        <f>'EEM #3 Building Insulation'!L36</f>
        <v>34860</v>
      </c>
      <c r="H9" s="25" t="s">
        <v>96</v>
      </c>
      <c r="I9" s="30" t="s">
        <v>96</v>
      </c>
      <c r="J9" s="27">
        <f>'EEM #3 Building Insulation'!L37</f>
        <v>3529.0439384220654</v>
      </c>
      <c r="K9" s="28">
        <f>'EEM #3 Building Insulation'!L43</f>
        <v>72976</v>
      </c>
      <c r="L9" s="31">
        <f>K9/J9</f>
        <v>20.678688413448775</v>
      </c>
    </row>
    <row r="10" spans="5:12" ht="15.6" x14ac:dyDescent="0.3">
      <c r="E10" s="32" t="s">
        <v>99</v>
      </c>
      <c r="F10" s="33" t="s">
        <v>106</v>
      </c>
      <c r="G10" s="34">
        <f>'EEM #4 Programmable Tstats'!N18</f>
        <v>7500</v>
      </c>
      <c r="H10" s="35" t="s">
        <v>96</v>
      </c>
      <c r="I10" s="36" t="s">
        <v>96</v>
      </c>
      <c r="J10" s="37">
        <f>'EEM #4 Programmable Tstats'!N19</f>
        <v>759.26074406670944</v>
      </c>
      <c r="K10" s="38">
        <f>'EEM #4 Programmable Tstats'!N25</f>
        <v>2250</v>
      </c>
      <c r="L10" s="39">
        <f>K10/J10</f>
        <v>2.9634088389038493</v>
      </c>
    </row>
    <row r="11" spans="5:12" ht="16.2" thickBot="1" x14ac:dyDescent="0.35">
      <c r="E11" s="32" t="s">
        <v>222</v>
      </c>
      <c r="F11" s="33" t="s">
        <v>248</v>
      </c>
      <c r="G11" s="34">
        <f>'EEM #5 Premium Eff Motors'!N21</f>
        <v>604.04034896401299</v>
      </c>
      <c r="H11" s="35" t="s">
        <v>96</v>
      </c>
      <c r="I11" s="36" t="s">
        <v>96</v>
      </c>
      <c r="J11" s="37">
        <f>'EEM #5 Premium Eff Motors'!N22</f>
        <v>61.149883306764174</v>
      </c>
      <c r="K11" s="38">
        <f>'EEM #5 Premium Eff Motors'!N28</f>
        <v>300</v>
      </c>
      <c r="L11" s="39">
        <f>K11/J11</f>
        <v>4.9059782909972469</v>
      </c>
    </row>
    <row r="12" spans="5:12" ht="15.6" x14ac:dyDescent="0.3">
      <c r="E12" s="216" t="s">
        <v>100</v>
      </c>
      <c r="F12" s="217"/>
      <c r="G12" s="40"/>
      <c r="H12" s="41"/>
      <c r="I12" s="42"/>
      <c r="J12" s="43"/>
      <c r="K12" s="44"/>
      <c r="L12" s="43"/>
    </row>
    <row r="13" spans="5:12" ht="16.2" thickBot="1" x14ac:dyDescent="0.35">
      <c r="E13" s="218"/>
      <c r="F13" s="219"/>
      <c r="G13" s="45">
        <f>SUM(G7:G12)</f>
        <v>79972.040348964016</v>
      </c>
      <c r="H13" s="46"/>
      <c r="I13" s="47">
        <f>SUM(I9:I12)</f>
        <v>0</v>
      </c>
      <c r="J13" s="48">
        <f>SUM(J7:J11)</f>
        <v>8155.4188852144143</v>
      </c>
      <c r="K13" s="49">
        <f>SUM(K7:K11)</f>
        <v>115786</v>
      </c>
      <c r="L13" s="50">
        <f>K13/J13</f>
        <v>14.197431380246739</v>
      </c>
    </row>
    <row r="14" spans="5:12" ht="49.8" customHeight="1" thickBot="1" x14ac:dyDescent="0.35">
      <c r="F14" s="190" t="s">
        <v>273</v>
      </c>
    </row>
    <row r="15" spans="5:12" ht="30" customHeight="1" x14ac:dyDescent="0.3">
      <c r="E15" s="208" t="s">
        <v>223</v>
      </c>
      <c r="F15" s="211" t="s">
        <v>3</v>
      </c>
      <c r="G15" s="213" t="s">
        <v>86</v>
      </c>
      <c r="H15" s="214"/>
      <c r="I15" s="215"/>
      <c r="J15" s="213" t="s">
        <v>87</v>
      </c>
      <c r="K15" s="214"/>
      <c r="L15" s="215"/>
    </row>
    <row r="16" spans="5:12" ht="40.200000000000003" customHeight="1" x14ac:dyDescent="0.3">
      <c r="E16" s="209"/>
      <c r="F16" s="212"/>
      <c r="G16" s="123" t="s">
        <v>88</v>
      </c>
      <c r="H16" s="124" t="s">
        <v>89</v>
      </c>
      <c r="I16" s="125" t="s">
        <v>90</v>
      </c>
      <c r="J16" s="123" t="s">
        <v>91</v>
      </c>
      <c r="K16" s="126" t="s">
        <v>92</v>
      </c>
      <c r="L16" s="127" t="s">
        <v>224</v>
      </c>
    </row>
    <row r="17" spans="5:12" ht="16.2" thickBot="1" x14ac:dyDescent="0.35">
      <c r="E17" s="210"/>
      <c r="F17" s="212"/>
      <c r="G17" s="128" t="s">
        <v>71</v>
      </c>
      <c r="H17" s="129" t="s">
        <v>93</v>
      </c>
      <c r="I17" s="130" t="s">
        <v>70</v>
      </c>
      <c r="J17" s="131"/>
      <c r="K17" s="129" t="s">
        <v>94</v>
      </c>
      <c r="L17" s="132"/>
    </row>
    <row r="18" spans="5:12" ht="27.75" customHeight="1" x14ac:dyDescent="0.3">
      <c r="E18" s="139" t="s">
        <v>225</v>
      </c>
      <c r="F18" s="140" t="s">
        <v>226</v>
      </c>
      <c r="G18" s="141" t="s">
        <v>70</v>
      </c>
      <c r="H18" s="133"/>
      <c r="I18" s="142" t="s">
        <v>70</v>
      </c>
      <c r="J18" s="142" t="s">
        <v>70</v>
      </c>
      <c r="K18" s="144" t="s">
        <v>227</v>
      </c>
      <c r="L18" s="143" t="s">
        <v>70</v>
      </c>
    </row>
    <row r="19" spans="5:12" ht="15" thickBot="1" x14ac:dyDescent="0.35">
      <c r="E19" s="134"/>
      <c r="F19" s="135"/>
      <c r="G19" s="136"/>
      <c r="H19" s="137"/>
      <c r="I19" s="137"/>
      <c r="J19" s="137"/>
      <c r="K19" s="137"/>
      <c r="L19" s="138"/>
    </row>
    <row r="22" spans="5:12" x14ac:dyDescent="0.3">
      <c r="E22" s="86" t="s">
        <v>133</v>
      </c>
    </row>
    <row r="23" spans="5:12" x14ac:dyDescent="0.3">
      <c r="E23" s="189">
        <f>'2021 Utility'!G19</f>
        <v>124720</v>
      </c>
      <c r="F23" s="11" t="s">
        <v>101</v>
      </c>
      <c r="G23" s="88">
        <f>'2021 Utility'!H19</f>
        <v>12626</v>
      </c>
      <c r="H23" s="86" t="s">
        <v>163</v>
      </c>
      <c r="J23" s="89">
        <f>G23/E23</f>
        <v>0.10123476587556125</v>
      </c>
      <c r="K23" s="86" t="s">
        <v>165</v>
      </c>
    </row>
    <row r="24" spans="5:12" x14ac:dyDescent="0.3">
      <c r="E24" s="11">
        <f>'2021 Utility'!G37</f>
        <v>3946.2000000000003</v>
      </c>
      <c r="F24" s="11" t="s">
        <v>102</v>
      </c>
      <c r="G24" s="90">
        <f>'2021 Utility'!K37</f>
        <v>3660.6200000000003</v>
      </c>
      <c r="H24" s="86" t="s">
        <v>164</v>
      </c>
      <c r="J24" s="89">
        <f>G24/E25</f>
        <v>9.276316456337744</v>
      </c>
      <c r="K24" s="86" t="s">
        <v>228</v>
      </c>
    </row>
    <row r="25" spans="5:12" x14ac:dyDescent="0.3">
      <c r="E25" s="11">
        <f>E24/10</f>
        <v>394.62</v>
      </c>
      <c r="F25" s="86" t="s">
        <v>162</v>
      </c>
    </row>
    <row r="27" spans="5:12" x14ac:dyDescent="0.3">
      <c r="E27" s="11" t="s">
        <v>103</v>
      </c>
    </row>
    <row r="28" spans="5:12" x14ac:dyDescent="0.3">
      <c r="E28" s="51">
        <f>1-(E23-G13)/E23</f>
        <v>0.64121263910330351</v>
      </c>
      <c r="F28" s="11" t="s">
        <v>101</v>
      </c>
    </row>
    <row r="29" spans="5:12" x14ac:dyDescent="0.3">
      <c r="E29" s="51">
        <f>1-(E24-I13)/E24</f>
        <v>0</v>
      </c>
      <c r="F29" s="11" t="s">
        <v>104</v>
      </c>
    </row>
    <row r="31" spans="5:12" x14ac:dyDescent="0.3">
      <c r="F31" s="86" t="s">
        <v>70</v>
      </c>
    </row>
  </sheetData>
  <mergeCells count="10">
    <mergeCell ref="E15:E17"/>
    <mergeCell ref="F15:F17"/>
    <mergeCell ref="G15:I15"/>
    <mergeCell ref="J15:L15"/>
    <mergeCell ref="E12:F13"/>
    <mergeCell ref="E4:E6"/>
    <mergeCell ref="F4:F6"/>
    <mergeCell ref="G4:J4"/>
    <mergeCell ref="K4:L4"/>
    <mergeCell ref="G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A34C-0E3B-417C-AD1C-1142B067DA77}">
  <dimension ref="B2:O989"/>
  <sheetViews>
    <sheetView showGridLines="0" topLeftCell="A10" zoomScale="80" zoomScaleNormal="80" workbookViewId="0">
      <selection activeCell="H45" sqref="H45"/>
    </sheetView>
  </sheetViews>
  <sheetFormatPr defaultColWidth="14.44140625" defaultRowHeight="15" customHeight="1" x14ac:dyDescent="0.3"/>
  <cols>
    <col min="1" max="1" width="8.6640625" style="52" customWidth="1"/>
    <col min="2" max="2" width="10.44140625" style="52" customWidth="1"/>
    <col min="3" max="3" width="29.5546875" style="52" customWidth="1"/>
    <col min="4" max="4" width="17.109375" style="52" customWidth="1"/>
    <col min="5" max="5" width="12.6640625" style="52" customWidth="1"/>
    <col min="6" max="6" width="17" style="52" customWidth="1"/>
    <col min="7" max="7" width="7.5546875" style="52" customWidth="1"/>
    <col min="8" max="8" width="27" style="52" customWidth="1"/>
    <col min="9" max="9" width="13.33203125" style="52" customWidth="1"/>
    <col min="10" max="10" width="8.6640625" style="52" customWidth="1"/>
    <col min="11" max="11" width="15.109375" style="52" customWidth="1"/>
    <col min="12" max="12" width="13.109375" style="52" customWidth="1"/>
    <col min="13" max="13" width="12.6640625" style="52" customWidth="1"/>
    <col min="14" max="23" width="8.6640625" style="52" customWidth="1"/>
    <col min="24" max="16384" width="14.44140625" style="52"/>
  </cols>
  <sheetData>
    <row r="2" spans="2:13" ht="15" customHeight="1" thickBot="1" x14ac:dyDescent="0.35"/>
    <row r="3" spans="2:13" ht="15" customHeight="1" thickBot="1" x14ac:dyDescent="0.4">
      <c r="B3" s="100" t="s">
        <v>75</v>
      </c>
      <c r="C3" s="99"/>
    </row>
    <row r="4" spans="2:13" ht="82.8" customHeight="1" x14ac:dyDescent="0.3"/>
    <row r="5" spans="2:13" ht="46.2" customHeight="1" x14ac:dyDescent="0.35">
      <c r="B5" s="234" t="s">
        <v>0</v>
      </c>
      <c r="C5" s="235"/>
      <c r="D5" s="235"/>
      <c r="E5" s="235"/>
      <c r="F5" s="236"/>
      <c r="G5" s="4"/>
      <c r="H5" s="237" t="s">
        <v>1</v>
      </c>
      <c r="I5" s="235"/>
      <c r="J5" s="235"/>
      <c r="K5" s="236"/>
      <c r="L5" s="245" t="s">
        <v>107</v>
      </c>
      <c r="M5" s="246" t="s">
        <v>108</v>
      </c>
    </row>
    <row r="6" spans="2:13" ht="57.6" customHeight="1" x14ac:dyDescent="0.3">
      <c r="B6" s="244" t="s">
        <v>2</v>
      </c>
      <c r="C6" s="3" t="s">
        <v>3</v>
      </c>
      <c r="D6" s="3" t="s">
        <v>4</v>
      </c>
      <c r="E6" s="3" t="s">
        <v>5</v>
      </c>
      <c r="F6" s="243" t="s">
        <v>65</v>
      </c>
      <c r="G6" s="244" t="s">
        <v>6</v>
      </c>
      <c r="H6" s="3" t="s">
        <v>3</v>
      </c>
      <c r="I6" s="253" t="s">
        <v>4</v>
      </c>
      <c r="J6" s="3" t="s">
        <v>5</v>
      </c>
      <c r="K6" s="243" t="s">
        <v>66</v>
      </c>
      <c r="L6" s="246"/>
      <c r="M6" s="246"/>
    </row>
    <row r="7" spans="2:13" ht="15" customHeight="1" x14ac:dyDescent="0.3">
      <c r="L7" s="246"/>
      <c r="M7" s="246"/>
    </row>
    <row r="8" spans="2:13" ht="28.8" x14ac:dyDescent="0.3">
      <c r="B8" s="1" t="s">
        <v>7</v>
      </c>
      <c r="C8" s="2" t="s">
        <v>8</v>
      </c>
      <c r="D8" s="1">
        <v>60</v>
      </c>
      <c r="E8" s="1">
        <f>9+4+9+9+9+9+9+9+12</f>
        <v>79</v>
      </c>
      <c r="F8" s="1">
        <f t="shared" ref="F8:F22" si="0">D8*E8</f>
        <v>4740</v>
      </c>
      <c r="G8" s="1" t="s">
        <v>9</v>
      </c>
      <c r="H8" s="252" t="s">
        <v>10</v>
      </c>
      <c r="I8" s="1">
        <v>24</v>
      </c>
      <c r="J8" s="1">
        <f>9+4+9+9+9+9+9+9+12</f>
        <v>79</v>
      </c>
      <c r="K8" s="1">
        <f>J8*I8</f>
        <v>1896</v>
      </c>
      <c r="L8" s="247">
        <v>250</v>
      </c>
      <c r="M8" s="247">
        <f>SUM(J8*L8)</f>
        <v>19750</v>
      </c>
    </row>
    <row r="9" spans="2:13" ht="43.2" x14ac:dyDescent="0.3">
      <c r="B9" s="1" t="s">
        <v>11</v>
      </c>
      <c r="C9" s="2" t="s">
        <v>12</v>
      </c>
      <c r="D9" s="1">
        <v>160</v>
      </c>
      <c r="E9" s="52">
        <v>10</v>
      </c>
      <c r="F9" s="1">
        <f t="shared" si="0"/>
        <v>1600</v>
      </c>
      <c r="G9" s="1" t="s">
        <v>13</v>
      </c>
      <c r="H9" s="252" t="s">
        <v>14</v>
      </c>
      <c r="I9" s="1">
        <v>59</v>
      </c>
      <c r="J9" s="52">
        <v>10</v>
      </c>
      <c r="K9" s="1">
        <f>I9*J9</f>
        <v>590</v>
      </c>
      <c r="L9" s="247">
        <v>250</v>
      </c>
      <c r="M9" s="247">
        <f t="shared" ref="M9:M22" si="1">SUM(J9*L9)</f>
        <v>2500</v>
      </c>
    </row>
    <row r="10" spans="2:13" ht="28.8" x14ac:dyDescent="0.3">
      <c r="B10" s="1" t="s">
        <v>15</v>
      </c>
      <c r="C10" s="2" t="s">
        <v>16</v>
      </c>
      <c r="D10" s="1">
        <v>120</v>
      </c>
      <c r="E10" s="1">
        <v>10</v>
      </c>
      <c r="F10" s="1">
        <f t="shared" si="0"/>
        <v>1200</v>
      </c>
      <c r="G10" s="1" t="s">
        <v>17</v>
      </c>
      <c r="H10" s="252" t="s">
        <v>18</v>
      </c>
      <c r="I10" s="1">
        <v>53</v>
      </c>
      <c r="J10" s="1">
        <v>10</v>
      </c>
      <c r="K10" s="1">
        <f t="shared" ref="K10:K22" si="2">J10*I10</f>
        <v>530</v>
      </c>
      <c r="L10" s="247">
        <v>300</v>
      </c>
      <c r="M10" s="247">
        <f t="shared" si="1"/>
        <v>3000</v>
      </c>
    </row>
    <row r="11" spans="2:13" ht="28.8" x14ac:dyDescent="0.3">
      <c r="B11" s="1" t="s">
        <v>19</v>
      </c>
      <c r="C11" s="2" t="s">
        <v>20</v>
      </c>
      <c r="D11" s="1">
        <v>120</v>
      </c>
      <c r="F11" s="1">
        <f t="shared" si="0"/>
        <v>0</v>
      </c>
      <c r="G11" s="1" t="s">
        <v>21</v>
      </c>
      <c r="H11" s="252" t="s">
        <v>18</v>
      </c>
      <c r="I11" s="1">
        <v>53</v>
      </c>
      <c r="K11" s="1">
        <f t="shared" si="2"/>
        <v>0</v>
      </c>
      <c r="L11" s="247">
        <v>300</v>
      </c>
      <c r="M11" s="247">
        <f t="shared" si="1"/>
        <v>0</v>
      </c>
    </row>
    <row r="12" spans="2:13" ht="14.4" x14ac:dyDescent="0.3">
      <c r="B12" s="1" t="s">
        <v>22</v>
      </c>
      <c r="C12" s="2" t="s">
        <v>23</v>
      </c>
      <c r="D12" s="1">
        <v>60</v>
      </c>
      <c r="E12" s="1">
        <v>8</v>
      </c>
      <c r="F12" s="1">
        <f t="shared" si="0"/>
        <v>480</v>
      </c>
      <c r="G12" s="1" t="s">
        <v>24</v>
      </c>
      <c r="H12" s="252" t="s">
        <v>25</v>
      </c>
      <c r="I12" s="1">
        <v>20</v>
      </c>
      <c r="J12" s="1">
        <v>8</v>
      </c>
      <c r="K12" s="1">
        <f t="shared" si="2"/>
        <v>160</v>
      </c>
      <c r="L12" s="247">
        <v>45</v>
      </c>
      <c r="M12" s="247">
        <f t="shared" si="1"/>
        <v>360</v>
      </c>
    </row>
    <row r="13" spans="2:13" ht="28.8" x14ac:dyDescent="0.3">
      <c r="B13" s="1" t="s">
        <v>26</v>
      </c>
      <c r="C13" s="2" t="s">
        <v>27</v>
      </c>
      <c r="D13" s="1">
        <v>300</v>
      </c>
      <c r="E13" s="1">
        <v>1</v>
      </c>
      <c r="F13" s="1">
        <f t="shared" si="0"/>
        <v>300</v>
      </c>
      <c r="G13" s="1" t="s">
        <v>28</v>
      </c>
      <c r="H13" s="252" t="s">
        <v>29</v>
      </c>
      <c r="I13" s="1">
        <v>74</v>
      </c>
      <c r="J13" s="1">
        <v>1</v>
      </c>
      <c r="K13" s="1">
        <f t="shared" si="2"/>
        <v>74</v>
      </c>
      <c r="L13" s="247">
        <v>450</v>
      </c>
      <c r="M13" s="247">
        <f t="shared" si="1"/>
        <v>450</v>
      </c>
    </row>
    <row r="14" spans="2:13" ht="28.8" x14ac:dyDescent="0.3">
      <c r="B14" s="1" t="s">
        <v>30</v>
      </c>
      <c r="C14" s="2" t="s">
        <v>31</v>
      </c>
      <c r="D14" s="1">
        <v>100</v>
      </c>
      <c r="E14" s="1">
        <v>1</v>
      </c>
      <c r="F14" s="1">
        <f t="shared" si="0"/>
        <v>100</v>
      </c>
      <c r="G14" s="1" t="s">
        <v>32</v>
      </c>
      <c r="H14" s="252" t="s">
        <v>33</v>
      </c>
      <c r="I14" s="1">
        <v>35</v>
      </c>
      <c r="J14" s="1">
        <v>1</v>
      </c>
      <c r="K14" s="1">
        <f t="shared" si="2"/>
        <v>35</v>
      </c>
      <c r="L14" s="247">
        <v>350</v>
      </c>
      <c r="M14" s="247">
        <f t="shared" si="1"/>
        <v>350</v>
      </c>
    </row>
    <row r="15" spans="2:13" ht="28.8" x14ac:dyDescent="0.3">
      <c r="B15" s="1" t="s">
        <v>34</v>
      </c>
      <c r="C15" s="2" t="s">
        <v>35</v>
      </c>
      <c r="D15" s="1">
        <v>300</v>
      </c>
      <c r="E15" s="1">
        <v>6</v>
      </c>
      <c r="F15" s="1">
        <f t="shared" si="0"/>
        <v>1800</v>
      </c>
      <c r="G15" s="1" t="s">
        <v>36</v>
      </c>
      <c r="H15" s="252" t="s">
        <v>29</v>
      </c>
      <c r="I15" s="1">
        <v>74</v>
      </c>
      <c r="J15" s="1">
        <v>6</v>
      </c>
      <c r="K15" s="1">
        <f t="shared" si="2"/>
        <v>444</v>
      </c>
      <c r="L15" s="247">
        <v>450</v>
      </c>
      <c r="M15" s="247">
        <f t="shared" si="1"/>
        <v>2700</v>
      </c>
    </row>
    <row r="16" spans="2:13" ht="28.8" x14ac:dyDescent="0.3">
      <c r="B16" s="1" t="s">
        <v>37</v>
      </c>
      <c r="C16" s="2" t="s">
        <v>38</v>
      </c>
      <c r="D16" s="1">
        <v>200</v>
      </c>
      <c r="E16" s="1">
        <v>4</v>
      </c>
      <c r="F16" s="1">
        <f t="shared" si="0"/>
        <v>800</v>
      </c>
      <c r="G16" s="1" t="s">
        <v>39</v>
      </c>
      <c r="H16" s="252" t="s">
        <v>40</v>
      </c>
      <c r="I16" s="1">
        <v>94</v>
      </c>
      <c r="J16" s="1">
        <v>4</v>
      </c>
      <c r="K16" s="1">
        <f t="shared" si="2"/>
        <v>376</v>
      </c>
      <c r="L16" s="247">
        <v>800</v>
      </c>
      <c r="M16" s="247">
        <f t="shared" si="1"/>
        <v>3200</v>
      </c>
    </row>
    <row r="17" spans="2:13" ht="28.8" x14ac:dyDescent="0.3">
      <c r="B17" s="1" t="s">
        <v>41</v>
      </c>
      <c r="C17" s="2" t="s">
        <v>42</v>
      </c>
      <c r="D17" s="1">
        <v>60</v>
      </c>
      <c r="E17" s="1">
        <f>24+32</f>
        <v>56</v>
      </c>
      <c r="F17" s="1">
        <f t="shared" si="0"/>
        <v>3360</v>
      </c>
      <c r="G17" s="1" t="s">
        <v>43</v>
      </c>
      <c r="H17" s="252" t="s">
        <v>10</v>
      </c>
      <c r="I17" s="1">
        <v>24</v>
      </c>
      <c r="J17" s="1">
        <f>24+32</f>
        <v>56</v>
      </c>
      <c r="K17" s="1">
        <f t="shared" si="2"/>
        <v>1344</v>
      </c>
      <c r="L17" s="247">
        <v>220</v>
      </c>
      <c r="M17" s="247">
        <f t="shared" si="1"/>
        <v>12320</v>
      </c>
    </row>
    <row r="18" spans="2:13" ht="28.8" x14ac:dyDescent="0.3">
      <c r="B18" s="1" t="s">
        <v>44</v>
      </c>
      <c r="C18" s="2" t="s">
        <v>45</v>
      </c>
      <c r="D18" s="1">
        <v>120</v>
      </c>
      <c r="E18" s="1">
        <v>4</v>
      </c>
      <c r="F18" s="1">
        <f t="shared" si="0"/>
        <v>480</v>
      </c>
      <c r="G18" s="1" t="s">
        <v>46</v>
      </c>
      <c r="H18" s="252" t="s">
        <v>10</v>
      </c>
      <c r="I18" s="1">
        <v>24</v>
      </c>
      <c r="J18" s="1">
        <v>4</v>
      </c>
      <c r="K18" s="1">
        <f t="shared" si="2"/>
        <v>96</v>
      </c>
      <c r="L18" s="247">
        <v>220</v>
      </c>
      <c r="M18" s="247">
        <f t="shared" si="1"/>
        <v>880</v>
      </c>
    </row>
    <row r="19" spans="2:13" ht="14.4" x14ac:dyDescent="0.3">
      <c r="B19" s="1" t="s">
        <v>47</v>
      </c>
      <c r="C19" s="2" t="s">
        <v>48</v>
      </c>
      <c r="D19" s="1">
        <v>120</v>
      </c>
      <c r="E19" s="1">
        <v>2</v>
      </c>
      <c r="F19" s="1">
        <f t="shared" si="0"/>
        <v>240</v>
      </c>
      <c r="G19" s="1" t="s">
        <v>49</v>
      </c>
      <c r="H19" s="252" t="s">
        <v>50</v>
      </c>
      <c r="I19" s="1">
        <v>52</v>
      </c>
      <c r="J19" s="1">
        <v>2</v>
      </c>
      <c r="K19" s="1">
        <f t="shared" si="2"/>
        <v>104</v>
      </c>
      <c r="L19" s="247">
        <v>250</v>
      </c>
      <c r="M19" s="247">
        <f t="shared" si="1"/>
        <v>500</v>
      </c>
    </row>
    <row r="20" spans="2:13" ht="15.75" customHeight="1" x14ac:dyDescent="0.3">
      <c r="B20" s="1" t="s">
        <v>51</v>
      </c>
      <c r="C20" s="2" t="s">
        <v>52</v>
      </c>
      <c r="D20" s="1">
        <v>200</v>
      </c>
      <c r="E20" s="1">
        <v>4</v>
      </c>
      <c r="F20" s="1">
        <f t="shared" si="0"/>
        <v>800</v>
      </c>
      <c r="G20" s="1" t="s">
        <v>53</v>
      </c>
      <c r="H20" s="252" t="s">
        <v>54</v>
      </c>
      <c r="I20" s="1">
        <v>79</v>
      </c>
      <c r="J20" s="1">
        <v>4</v>
      </c>
      <c r="K20" s="1">
        <f t="shared" si="2"/>
        <v>316</v>
      </c>
      <c r="L20" s="247">
        <v>200</v>
      </c>
      <c r="M20" s="247">
        <f t="shared" si="1"/>
        <v>800</v>
      </c>
    </row>
    <row r="21" spans="2:13" ht="15.75" customHeight="1" x14ac:dyDescent="0.3">
      <c r="B21" s="1" t="s">
        <v>55</v>
      </c>
      <c r="C21" s="2" t="s">
        <v>56</v>
      </c>
      <c r="D21" s="1">
        <v>75</v>
      </c>
      <c r="E21" s="1">
        <v>1</v>
      </c>
      <c r="F21" s="1">
        <f t="shared" si="0"/>
        <v>75</v>
      </c>
      <c r="G21" s="1" t="s">
        <v>57</v>
      </c>
      <c r="H21" s="252" t="s">
        <v>58</v>
      </c>
      <c r="I21" s="1">
        <v>28</v>
      </c>
      <c r="J21" s="1">
        <v>1</v>
      </c>
      <c r="K21" s="1">
        <f t="shared" si="2"/>
        <v>28</v>
      </c>
      <c r="L21" s="247">
        <v>200</v>
      </c>
      <c r="M21" s="247">
        <f t="shared" si="1"/>
        <v>200</v>
      </c>
    </row>
    <row r="22" spans="2:13" ht="15.75" customHeight="1" x14ac:dyDescent="0.3">
      <c r="B22" s="1" t="s">
        <v>59</v>
      </c>
      <c r="C22" s="2" t="s">
        <v>60</v>
      </c>
      <c r="D22" s="1">
        <v>175</v>
      </c>
      <c r="E22" s="1">
        <v>1</v>
      </c>
      <c r="F22" s="1">
        <f t="shared" si="0"/>
        <v>175</v>
      </c>
      <c r="G22" s="1" t="s">
        <v>61</v>
      </c>
      <c r="H22" s="252" t="s">
        <v>62</v>
      </c>
      <c r="I22" s="1">
        <v>71</v>
      </c>
      <c r="J22" s="1">
        <v>1</v>
      </c>
      <c r="K22" s="1">
        <f t="shared" si="2"/>
        <v>71</v>
      </c>
      <c r="L22" s="247">
        <v>250</v>
      </c>
      <c r="M22" s="247">
        <f t="shared" si="1"/>
        <v>250</v>
      </c>
    </row>
    <row r="23" spans="2:13" ht="15.75" customHeight="1" x14ac:dyDescent="0.3">
      <c r="L23" s="246"/>
      <c r="M23" s="246"/>
    </row>
    <row r="24" spans="2:13" ht="15.75" customHeight="1" x14ac:dyDescent="0.3">
      <c r="F24" s="52">
        <f>SUM(F8:F23)</f>
        <v>16150</v>
      </c>
      <c r="K24" s="52">
        <f>SUM(K8:K23)</f>
        <v>6064</v>
      </c>
      <c r="L24" s="246"/>
      <c r="M24" s="247">
        <f>SUM(M8:M23)</f>
        <v>47260</v>
      </c>
    </row>
    <row r="25" spans="2:13" ht="15.75" customHeight="1" x14ac:dyDescent="0.3">
      <c r="E25" s="52" t="s">
        <v>67</v>
      </c>
      <c r="F25" s="52" t="s">
        <v>70</v>
      </c>
      <c r="L25" s="246"/>
      <c r="M25" s="246"/>
    </row>
    <row r="26" spans="2:13" ht="15.75" customHeight="1" x14ac:dyDescent="0.3">
      <c r="C26" s="52" t="s">
        <v>63</v>
      </c>
      <c r="D26" s="52">
        <f>F24</f>
        <v>16150</v>
      </c>
      <c r="E26" s="52">
        <f>D30</f>
        <v>3000</v>
      </c>
      <c r="F26" s="53">
        <f>E26*D26/1000</f>
        <v>48450</v>
      </c>
      <c r="G26" s="52" t="s">
        <v>71</v>
      </c>
      <c r="L26" s="248" t="s">
        <v>109</v>
      </c>
      <c r="M26" s="249">
        <v>10000</v>
      </c>
    </row>
    <row r="27" spans="2:13" ht="15.75" customHeight="1" x14ac:dyDescent="0.3">
      <c r="C27" s="52" t="s">
        <v>64</v>
      </c>
      <c r="D27" s="52">
        <f>K24</f>
        <v>6064</v>
      </c>
      <c r="E27" s="52">
        <f>D30</f>
        <v>3000</v>
      </c>
      <c r="F27" s="53">
        <f>E27*D27/1000</f>
        <v>18192</v>
      </c>
      <c r="G27" s="52" t="s">
        <v>71</v>
      </c>
      <c r="L27" s="246"/>
      <c r="M27" s="246"/>
    </row>
    <row r="28" spans="2:13" ht="30" customHeight="1" x14ac:dyDescent="0.3">
      <c r="L28" s="250" t="s">
        <v>110</v>
      </c>
      <c r="M28" s="251">
        <f>SUM(M24-M26)</f>
        <v>37260</v>
      </c>
    </row>
    <row r="29" spans="2:13" ht="15.75" customHeight="1" x14ac:dyDescent="0.3"/>
    <row r="30" spans="2:13" ht="15.75" customHeight="1" x14ac:dyDescent="0.3">
      <c r="C30" s="54" t="s">
        <v>68</v>
      </c>
      <c r="D30" s="52">
        <v>3000</v>
      </c>
      <c r="E30" s="52" t="s">
        <v>69</v>
      </c>
    </row>
    <row r="31" spans="2:13" ht="15.75" customHeight="1" x14ac:dyDescent="0.3"/>
    <row r="32" spans="2:13" ht="15.75" customHeight="1" thickBot="1" x14ac:dyDescent="0.35"/>
    <row r="33" spans="3:15" ht="15.75" customHeight="1" x14ac:dyDescent="0.3">
      <c r="C33" s="5" t="s">
        <v>74</v>
      </c>
      <c r="D33" s="55">
        <f>(D26-D27)/1000</f>
        <v>10.086</v>
      </c>
      <c r="E33" s="56" t="s">
        <v>73</v>
      </c>
      <c r="F33" s="54" t="s">
        <v>78</v>
      </c>
      <c r="G33" s="185">
        <f>'2021 Utility'!O11</f>
        <v>5.8961038961038961</v>
      </c>
      <c r="H33" s="57" t="s">
        <v>79</v>
      </c>
    </row>
    <row r="34" spans="3:15" ht="15.75" customHeight="1" thickBot="1" x14ac:dyDescent="0.35">
      <c r="C34" s="6" t="s">
        <v>72</v>
      </c>
      <c r="D34" s="58">
        <f>F26-F27</f>
        <v>30258</v>
      </c>
      <c r="E34" s="59" t="s">
        <v>71</v>
      </c>
      <c r="F34" s="54" t="s">
        <v>81</v>
      </c>
      <c r="G34" s="186">
        <f>'2021 Utility'!I19</f>
        <v>0.10123476587556125</v>
      </c>
      <c r="H34" s="57" t="s">
        <v>80</v>
      </c>
    </row>
    <row r="35" spans="3:15" ht="15.75" customHeight="1" thickBot="1" x14ac:dyDescent="0.35">
      <c r="C35" s="54" t="s">
        <v>70</v>
      </c>
    </row>
    <row r="36" spans="3:15" ht="15.75" customHeight="1" x14ac:dyDescent="0.3">
      <c r="C36" s="5" t="s">
        <v>76</v>
      </c>
      <c r="D36" s="7">
        <f>D33*G33</f>
        <v>59.468103896103898</v>
      </c>
    </row>
    <row r="37" spans="3:15" ht="15.75" customHeight="1" x14ac:dyDescent="0.3">
      <c r="C37" s="8" t="s">
        <v>77</v>
      </c>
      <c r="D37" s="9">
        <f>D34*G34</f>
        <v>3063.1615458627325</v>
      </c>
    </row>
    <row r="38" spans="3:15" ht="15.75" customHeight="1" x14ac:dyDescent="0.3">
      <c r="C38" s="60"/>
      <c r="D38" s="61"/>
    </row>
    <row r="39" spans="3:15" ht="15.75" customHeight="1" thickBot="1" x14ac:dyDescent="0.35">
      <c r="C39" s="6" t="s">
        <v>82</v>
      </c>
      <c r="D39" s="62">
        <f>SUM(D36:D38)</f>
        <v>3122.6296497588364</v>
      </c>
    </row>
    <row r="40" spans="3:15" ht="15.75" customHeight="1" thickBot="1" x14ac:dyDescent="0.35"/>
    <row r="41" spans="3:15" ht="15.75" customHeight="1" thickBot="1" x14ac:dyDescent="0.35">
      <c r="C41" s="63" t="s">
        <v>111</v>
      </c>
      <c r="D41" s="53">
        <f>M28/D39</f>
        <v>11.932250756306507</v>
      </c>
      <c r="E41" s="52" t="s">
        <v>112</v>
      </c>
      <c r="I41" s="220" t="s">
        <v>194</v>
      </c>
      <c r="J41" s="221"/>
      <c r="K41" s="222"/>
      <c r="L41" s="222"/>
      <c r="M41" s="222"/>
      <c r="N41" s="222"/>
      <c r="O41" s="223"/>
    </row>
    <row r="42" spans="3:15" ht="15.75" customHeight="1" x14ac:dyDescent="0.3">
      <c r="I42" s="224" t="s">
        <v>117</v>
      </c>
      <c r="J42" s="225"/>
      <c r="K42" s="69" t="s">
        <v>118</v>
      </c>
      <c r="L42" s="70"/>
      <c r="M42" s="70"/>
      <c r="N42" s="70"/>
      <c r="O42" s="71">
        <f>F26</f>
        <v>48450</v>
      </c>
    </row>
    <row r="43" spans="3:15" ht="15.75" customHeight="1" x14ac:dyDescent="0.3">
      <c r="I43" s="226"/>
      <c r="J43" s="227"/>
      <c r="K43" s="72" t="s">
        <v>120</v>
      </c>
      <c r="L43" s="64"/>
      <c r="M43" s="64"/>
      <c r="N43" s="64"/>
      <c r="O43" s="73">
        <f>F27</f>
        <v>18192</v>
      </c>
    </row>
    <row r="44" spans="3:15" ht="15.75" customHeight="1" x14ac:dyDescent="0.3">
      <c r="I44" s="226"/>
      <c r="J44" s="227"/>
      <c r="K44" s="72" t="s">
        <v>122</v>
      </c>
      <c r="L44" s="64"/>
      <c r="M44" s="64"/>
      <c r="N44" s="64"/>
      <c r="O44" s="73">
        <f>O42-O43</f>
        <v>30258</v>
      </c>
    </row>
    <row r="45" spans="3:15" ht="15.75" customHeight="1" x14ac:dyDescent="0.3">
      <c r="I45" s="226"/>
      <c r="J45" s="227"/>
      <c r="K45" s="191" t="s">
        <v>123</v>
      </c>
      <c r="L45" s="64"/>
      <c r="M45" s="64"/>
      <c r="N45" s="64"/>
      <c r="O45" s="193">
        <f>D37</f>
        <v>3063.1615458627325</v>
      </c>
    </row>
    <row r="46" spans="3:15" ht="15.75" customHeight="1" x14ac:dyDescent="0.3">
      <c r="I46" s="226"/>
      <c r="J46" s="227"/>
      <c r="K46" s="191" t="s">
        <v>274</v>
      </c>
      <c r="L46" s="64"/>
      <c r="M46" s="64"/>
      <c r="N46" s="64"/>
      <c r="O46" s="73">
        <v>10</v>
      </c>
    </row>
    <row r="47" spans="3:15" ht="15.75" customHeight="1" x14ac:dyDescent="0.3">
      <c r="I47" s="226"/>
      <c r="J47" s="227"/>
      <c r="K47" s="192" t="s">
        <v>275</v>
      </c>
      <c r="L47" s="75"/>
      <c r="M47" s="75"/>
      <c r="N47" s="75"/>
      <c r="O47" s="76">
        <f>D36</f>
        <v>59.468103896103898</v>
      </c>
    </row>
    <row r="48" spans="3:15" ht="15.75" customHeight="1" x14ac:dyDescent="0.3">
      <c r="I48" s="226"/>
      <c r="J48" s="227"/>
      <c r="K48" s="77" t="s">
        <v>125</v>
      </c>
      <c r="L48" s="78"/>
      <c r="M48" s="78"/>
      <c r="N48" s="78"/>
      <c r="O48" s="79" t="s">
        <v>96</v>
      </c>
    </row>
    <row r="49" spans="9:15" ht="15.75" customHeight="1" x14ac:dyDescent="0.3">
      <c r="I49" s="226"/>
      <c r="J49" s="227"/>
      <c r="K49" s="72" t="s">
        <v>126</v>
      </c>
      <c r="L49" s="64"/>
      <c r="M49" s="64"/>
      <c r="N49" s="64"/>
      <c r="O49" s="73" t="s">
        <v>96</v>
      </c>
    </row>
    <row r="50" spans="9:15" ht="15.75" customHeight="1" x14ac:dyDescent="0.3">
      <c r="I50" s="226"/>
      <c r="J50" s="227"/>
      <c r="K50" s="72" t="s">
        <v>127</v>
      </c>
      <c r="L50" s="64"/>
      <c r="M50" s="64"/>
      <c r="N50" s="64"/>
      <c r="O50" s="73" t="s">
        <v>96</v>
      </c>
    </row>
    <row r="51" spans="9:15" ht="15.75" customHeight="1" thickBot="1" x14ac:dyDescent="0.35">
      <c r="I51" s="226"/>
      <c r="J51" s="227"/>
      <c r="K51" s="80" t="s">
        <v>128</v>
      </c>
      <c r="L51" s="81"/>
      <c r="M51" s="81"/>
      <c r="N51" s="81"/>
      <c r="O51" s="105" t="s">
        <v>96</v>
      </c>
    </row>
    <row r="52" spans="9:15" ht="15.75" customHeight="1" thickBot="1" x14ac:dyDescent="0.35">
      <c r="I52" s="228"/>
      <c r="J52" s="229"/>
      <c r="K52" s="64" t="s">
        <v>129</v>
      </c>
      <c r="L52" s="64"/>
      <c r="M52" s="64"/>
      <c r="N52" s="64"/>
      <c r="O52" s="83">
        <f>O45+O47</f>
        <v>3122.6296497588364</v>
      </c>
    </row>
    <row r="53" spans="9:15" ht="15.75" customHeight="1" x14ac:dyDescent="0.3">
      <c r="I53" s="230" t="s">
        <v>130</v>
      </c>
      <c r="J53" s="231"/>
      <c r="K53" s="69" t="s">
        <v>131</v>
      </c>
      <c r="L53" s="70"/>
      <c r="M53" s="70"/>
      <c r="N53" s="70"/>
      <c r="O53" s="84">
        <f>M28</f>
        <v>37260</v>
      </c>
    </row>
    <row r="54" spans="9:15" ht="15.75" customHeight="1" thickBot="1" x14ac:dyDescent="0.35">
      <c r="I54" s="232"/>
      <c r="J54" s="233"/>
      <c r="K54" s="80" t="s">
        <v>132</v>
      </c>
      <c r="L54" s="81"/>
      <c r="M54" s="81"/>
      <c r="N54" s="81"/>
      <c r="O54" s="85">
        <f>O53/O52</f>
        <v>11.932250756306507</v>
      </c>
    </row>
    <row r="55" spans="9:15" ht="15.75" customHeight="1" x14ac:dyDescent="0.3"/>
    <row r="56" spans="9:15" ht="15.75" customHeight="1" x14ac:dyDescent="0.3"/>
    <row r="57" spans="9:15" ht="15.75" customHeight="1" x14ac:dyDescent="0.3"/>
    <row r="58" spans="9:15" ht="15.75" customHeight="1" x14ac:dyDescent="0.3"/>
    <row r="59" spans="9:15" ht="15.75" customHeight="1" x14ac:dyDescent="0.3"/>
    <row r="60" spans="9:15" ht="15.75" customHeight="1" x14ac:dyDescent="0.3"/>
    <row r="61" spans="9:15" ht="15.75" customHeight="1" x14ac:dyDescent="0.3"/>
    <row r="62" spans="9:15" ht="15.75" customHeight="1" x14ac:dyDescent="0.3"/>
    <row r="63" spans="9:15" ht="15.75" customHeight="1" x14ac:dyDescent="0.3"/>
    <row r="64" spans="9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</sheetData>
  <mergeCells count="5">
    <mergeCell ref="I41:O41"/>
    <mergeCell ref="I42:J52"/>
    <mergeCell ref="I53:J54"/>
    <mergeCell ref="B5:F5"/>
    <mergeCell ref="H5:K5"/>
  </mergeCells>
  <pageMargins left="0.7" right="0.7" top="0.75" bottom="0.75" header="0" footer="0"/>
  <pageSetup orientation="portrait" r:id="rId1"/>
  <ignoredErrors>
    <ignoredError sqref="K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B5F1-543D-4FA2-999C-BB2C2869EBCB}">
  <dimension ref="A1:R39"/>
  <sheetViews>
    <sheetView showGridLines="0" tabSelected="1" topLeftCell="A4" zoomScale="80" zoomScaleNormal="80" workbookViewId="0">
      <selection activeCell="E6" sqref="E6:O26"/>
    </sheetView>
  </sheetViews>
  <sheetFormatPr defaultRowHeight="14.4" x14ac:dyDescent="0.3"/>
  <cols>
    <col min="1" max="4" width="8.88671875" style="64"/>
    <col min="5" max="5" width="17.109375" style="64" customWidth="1"/>
    <col min="6" max="6" width="24.44140625" style="64" customWidth="1"/>
    <col min="7" max="7" width="12.6640625" style="64" customWidth="1"/>
    <col min="8" max="8" width="10.44140625" style="64" customWidth="1"/>
    <col min="9" max="9" width="12.44140625" style="64" customWidth="1"/>
    <col min="10" max="10" width="16" style="64" customWidth="1"/>
    <col min="11" max="11" width="11.6640625" style="64" customWidth="1"/>
    <col min="12" max="12" width="10" style="64" customWidth="1"/>
    <col min="13" max="13" width="7.5546875" style="64" customWidth="1"/>
    <col min="14" max="14" width="8.88671875" style="64"/>
    <col min="15" max="15" width="5.88671875" style="64" customWidth="1"/>
    <col min="16" max="16" width="12.5546875" style="64" customWidth="1"/>
    <col min="17" max="16384" width="8.88671875" style="64"/>
  </cols>
  <sheetData>
    <row r="1" spans="1:17" ht="15" thickBot="1" x14ac:dyDescent="0.35">
      <c r="A1" s="64" t="s">
        <v>70</v>
      </c>
    </row>
    <row r="2" spans="1:17" ht="18.600000000000001" thickBot="1" x14ac:dyDescent="0.4">
      <c r="D2" s="96" t="s">
        <v>173</v>
      </c>
      <c r="E2" s="97" t="s">
        <v>174</v>
      </c>
      <c r="F2" s="98"/>
    </row>
    <row r="6" spans="1:17" x14ac:dyDescent="0.3">
      <c r="E6" s="64" t="s">
        <v>113</v>
      </c>
    </row>
    <row r="7" spans="1:17" ht="10.199999999999999" customHeight="1" x14ac:dyDescent="0.3">
      <c r="E7" s="64" t="s">
        <v>166</v>
      </c>
    </row>
    <row r="8" spans="1:17" hidden="1" x14ac:dyDescent="0.3"/>
    <row r="9" spans="1:17" ht="52.8" customHeight="1" x14ac:dyDescent="0.3">
      <c r="E9" s="91" t="s">
        <v>2</v>
      </c>
      <c r="F9" s="92" t="s">
        <v>3</v>
      </c>
      <c r="G9" s="93" t="s">
        <v>4</v>
      </c>
      <c r="H9" s="92" t="s">
        <v>5</v>
      </c>
      <c r="I9" s="94" t="s">
        <v>65</v>
      </c>
      <c r="M9" s="66"/>
      <c r="N9" s="66"/>
    </row>
    <row r="10" spans="1:17" ht="50.4" customHeight="1" x14ac:dyDescent="0.3">
      <c r="E10" s="1" t="s">
        <v>7</v>
      </c>
      <c r="F10" s="2" t="s">
        <v>8</v>
      </c>
      <c r="G10" s="1">
        <v>60</v>
      </c>
      <c r="H10" s="1">
        <f>9+4+9+9+9+9+9+9+12</f>
        <v>79</v>
      </c>
      <c r="I10" s="1">
        <f t="shared" ref="I10:I21" si="0">G10*H10</f>
        <v>4740</v>
      </c>
      <c r="P10" s="67"/>
      <c r="Q10" s="67"/>
    </row>
    <row r="11" spans="1:17" ht="42.6" customHeight="1" x14ac:dyDescent="0.3">
      <c r="E11" s="1" t="s">
        <v>11</v>
      </c>
      <c r="F11" s="2" t="s">
        <v>12</v>
      </c>
      <c r="G11" s="1">
        <v>160</v>
      </c>
      <c r="H11" s="52"/>
      <c r="I11" s="1">
        <f t="shared" si="0"/>
        <v>0</v>
      </c>
      <c r="P11" s="67"/>
      <c r="Q11" s="67"/>
    </row>
    <row r="12" spans="1:17" ht="49.8" customHeight="1" x14ac:dyDescent="0.3">
      <c r="E12" s="1" t="s">
        <v>15</v>
      </c>
      <c r="F12" s="2" t="s">
        <v>16</v>
      </c>
      <c r="G12" s="1">
        <v>120</v>
      </c>
      <c r="H12" s="1">
        <v>10</v>
      </c>
      <c r="I12" s="1">
        <f t="shared" si="0"/>
        <v>1200</v>
      </c>
      <c r="P12" s="67"/>
      <c r="Q12" s="67"/>
    </row>
    <row r="13" spans="1:17" ht="43.2" customHeight="1" x14ac:dyDescent="0.3">
      <c r="E13" s="1" t="s">
        <v>19</v>
      </c>
      <c r="F13" s="2" t="s">
        <v>20</v>
      </c>
      <c r="G13" s="1">
        <v>120</v>
      </c>
      <c r="H13" s="52"/>
      <c r="I13" s="1">
        <f t="shared" si="0"/>
        <v>0</v>
      </c>
      <c r="P13" s="67"/>
      <c r="Q13" s="67"/>
    </row>
    <row r="14" spans="1:17" x14ac:dyDescent="0.3">
      <c r="E14" s="1" t="s">
        <v>22</v>
      </c>
      <c r="F14" s="2" t="s">
        <v>23</v>
      </c>
      <c r="G14" s="1">
        <v>60</v>
      </c>
      <c r="H14" s="1">
        <v>8</v>
      </c>
      <c r="I14" s="1">
        <f t="shared" si="0"/>
        <v>480</v>
      </c>
      <c r="P14" s="67"/>
      <c r="Q14" s="67"/>
    </row>
    <row r="15" spans="1:17" ht="33.6" customHeight="1" x14ac:dyDescent="0.3">
      <c r="E15" s="1" t="s">
        <v>26</v>
      </c>
      <c r="F15" s="2" t="s">
        <v>27</v>
      </c>
      <c r="G15" s="1">
        <v>300</v>
      </c>
      <c r="H15" s="1">
        <v>1</v>
      </c>
      <c r="I15" s="1">
        <f t="shared" si="0"/>
        <v>300</v>
      </c>
      <c r="P15" s="67"/>
      <c r="Q15" s="67"/>
    </row>
    <row r="16" spans="1:17" ht="22.8" customHeight="1" x14ac:dyDescent="0.3">
      <c r="E16" s="1" t="s">
        <v>30</v>
      </c>
      <c r="F16" s="2" t="s">
        <v>31</v>
      </c>
      <c r="G16" s="1">
        <v>100</v>
      </c>
      <c r="H16" s="1">
        <v>1</v>
      </c>
      <c r="I16" s="1">
        <f t="shared" si="0"/>
        <v>100</v>
      </c>
      <c r="P16" s="67"/>
      <c r="Q16" s="67"/>
    </row>
    <row r="17" spans="5:18" ht="26.4" customHeight="1" x14ac:dyDescent="0.3">
      <c r="E17" s="1" t="s">
        <v>34</v>
      </c>
      <c r="F17" s="2" t="s">
        <v>35</v>
      </c>
      <c r="G17" s="1">
        <v>300</v>
      </c>
      <c r="H17" s="1">
        <v>6</v>
      </c>
      <c r="I17" s="1">
        <f t="shared" si="0"/>
        <v>1800</v>
      </c>
      <c r="P17" s="67"/>
      <c r="Q17" s="67"/>
    </row>
    <row r="18" spans="5:18" ht="28.8" x14ac:dyDescent="0.3">
      <c r="E18" s="1" t="s">
        <v>37</v>
      </c>
      <c r="F18" s="2" t="s">
        <v>38</v>
      </c>
      <c r="G18" s="1">
        <v>200</v>
      </c>
      <c r="H18" s="1">
        <v>4</v>
      </c>
      <c r="I18" s="1">
        <f t="shared" si="0"/>
        <v>800</v>
      </c>
      <c r="P18" s="67"/>
      <c r="Q18" s="67"/>
    </row>
    <row r="19" spans="5:18" ht="28.8" x14ac:dyDescent="0.3">
      <c r="E19" s="1" t="s">
        <v>41</v>
      </c>
      <c r="F19" s="2" t="s">
        <v>42</v>
      </c>
      <c r="G19" s="1">
        <v>60</v>
      </c>
      <c r="H19" s="1">
        <f>24+32</f>
        <v>56</v>
      </c>
      <c r="I19" s="1">
        <f t="shared" si="0"/>
        <v>3360</v>
      </c>
      <c r="P19" s="67"/>
      <c r="Q19" s="67"/>
    </row>
    <row r="20" spans="5:18" ht="31.2" customHeight="1" x14ac:dyDescent="0.3">
      <c r="E20" s="1" t="s">
        <v>44</v>
      </c>
      <c r="F20" s="2" t="s">
        <v>45</v>
      </c>
      <c r="G20" s="1">
        <v>120</v>
      </c>
      <c r="H20" s="1">
        <v>4</v>
      </c>
      <c r="I20" s="1">
        <f t="shared" si="0"/>
        <v>480</v>
      </c>
      <c r="P20" s="67"/>
      <c r="Q20" s="67"/>
    </row>
    <row r="21" spans="5:18" ht="31.2" customHeight="1" x14ac:dyDescent="0.3">
      <c r="E21" s="1" t="s">
        <v>47</v>
      </c>
      <c r="F21" s="2" t="s">
        <v>48</v>
      </c>
      <c r="G21" s="1">
        <v>120</v>
      </c>
      <c r="H21" s="1">
        <v>2</v>
      </c>
      <c r="I21" s="1">
        <f t="shared" si="0"/>
        <v>240</v>
      </c>
      <c r="P21" s="67"/>
      <c r="Q21" s="67"/>
    </row>
    <row r="22" spans="5:18" x14ac:dyDescent="0.3">
      <c r="E22" s="52"/>
      <c r="F22" s="52"/>
      <c r="G22" s="52"/>
      <c r="H22" s="52"/>
      <c r="I22" s="52"/>
    </row>
    <row r="23" spans="5:18" x14ac:dyDescent="0.3">
      <c r="E23" s="52"/>
      <c r="F23" s="52"/>
      <c r="G23" s="52"/>
      <c r="H23" s="52"/>
      <c r="I23" s="52">
        <f>SUM(I10:I22)</f>
        <v>13500</v>
      </c>
      <c r="J23" s="64" t="s">
        <v>167</v>
      </c>
      <c r="K23" s="254" t="s">
        <v>70</v>
      </c>
      <c r="P23" s="68"/>
    </row>
    <row r="24" spans="5:18" x14ac:dyDescent="0.3">
      <c r="E24" s="255" t="s">
        <v>276</v>
      </c>
      <c r="F24" s="52"/>
      <c r="G24" s="52"/>
      <c r="H24" s="52"/>
      <c r="I24" s="52">
        <f>I23*3000/1000</f>
        <v>40500</v>
      </c>
      <c r="J24" s="64" t="s">
        <v>168</v>
      </c>
      <c r="K24" s="64" t="s">
        <v>169</v>
      </c>
      <c r="P24" s="68"/>
    </row>
    <row r="25" spans="5:18" x14ac:dyDescent="0.3">
      <c r="E25" s="52"/>
      <c r="F25" s="52"/>
      <c r="G25" s="52"/>
      <c r="H25" s="52"/>
      <c r="I25" s="52">
        <f>I23*2500/1000</f>
        <v>33750</v>
      </c>
      <c r="J25" s="64" t="s">
        <v>171</v>
      </c>
      <c r="K25" s="64" t="s">
        <v>170</v>
      </c>
      <c r="P25" s="68"/>
    </row>
    <row r="27" spans="5:18" ht="15" thickBot="1" x14ac:dyDescent="0.35">
      <c r="O27" s="64" t="s">
        <v>115</v>
      </c>
    </row>
    <row r="28" spans="5:18" ht="15" thickBot="1" x14ac:dyDescent="0.35">
      <c r="F28" s="220" t="s">
        <v>172</v>
      </c>
      <c r="G28" s="221"/>
      <c r="H28" s="222"/>
      <c r="I28" s="222"/>
      <c r="J28" s="222"/>
      <c r="K28" s="222"/>
      <c r="L28" s="223"/>
      <c r="O28" s="64" t="s">
        <v>116</v>
      </c>
      <c r="P28" s="64">
        <v>150</v>
      </c>
    </row>
    <row r="29" spans="5:18" ht="15" customHeight="1" x14ac:dyDescent="0.3">
      <c r="F29" s="224" t="s">
        <v>117</v>
      </c>
      <c r="G29" s="225"/>
      <c r="H29" s="69" t="s">
        <v>118</v>
      </c>
      <c r="I29" s="70"/>
      <c r="J29" s="70"/>
      <c r="K29" s="70"/>
      <c r="L29" s="71">
        <f>I24</f>
        <v>40500</v>
      </c>
      <c r="O29" s="64" t="s">
        <v>119</v>
      </c>
      <c r="P29" s="64">
        <v>20</v>
      </c>
      <c r="R29" s="64" t="s">
        <v>114</v>
      </c>
    </row>
    <row r="30" spans="5:18" x14ac:dyDescent="0.3">
      <c r="F30" s="226"/>
      <c r="G30" s="227"/>
      <c r="H30" s="72" t="s">
        <v>120</v>
      </c>
      <c r="L30" s="73">
        <f>I25</f>
        <v>33750</v>
      </c>
      <c r="O30" s="64" t="s">
        <v>121</v>
      </c>
      <c r="P30" s="68">
        <f>P29*P28</f>
        <v>3000</v>
      </c>
    </row>
    <row r="31" spans="5:18" x14ac:dyDescent="0.3">
      <c r="F31" s="226"/>
      <c r="G31" s="227"/>
      <c r="H31" s="72" t="s">
        <v>122</v>
      </c>
      <c r="L31" s="73">
        <f>L29-L30</f>
        <v>6750</v>
      </c>
    </row>
    <row r="32" spans="5:18" x14ac:dyDescent="0.3">
      <c r="F32" s="226"/>
      <c r="G32" s="227"/>
      <c r="H32" s="74" t="s">
        <v>123</v>
      </c>
      <c r="I32" s="75"/>
      <c r="J32" s="75"/>
      <c r="K32" s="75"/>
      <c r="L32" s="76">
        <f>L31*'2021 Utility'!I19</f>
        <v>683.33466966003846</v>
      </c>
      <c r="O32" s="64" t="s">
        <v>124</v>
      </c>
      <c r="P32" s="95">
        <f>P30/L32</f>
        <v>4.390235316894592</v>
      </c>
    </row>
    <row r="33" spans="6:12" x14ac:dyDescent="0.3">
      <c r="F33" s="226"/>
      <c r="G33" s="227"/>
      <c r="H33" s="77" t="s">
        <v>125</v>
      </c>
      <c r="I33" s="78"/>
      <c r="J33" s="78"/>
      <c r="K33" s="78"/>
      <c r="L33" s="187" t="s">
        <v>70</v>
      </c>
    </row>
    <row r="34" spans="6:12" x14ac:dyDescent="0.3">
      <c r="F34" s="226"/>
      <c r="G34" s="227"/>
      <c r="H34" s="72" t="s">
        <v>126</v>
      </c>
      <c r="L34" s="188" t="s">
        <v>96</v>
      </c>
    </row>
    <row r="35" spans="6:12" x14ac:dyDescent="0.3">
      <c r="F35" s="226"/>
      <c r="G35" s="227"/>
      <c r="H35" s="72" t="s">
        <v>127</v>
      </c>
      <c r="L35" s="188" t="s">
        <v>96</v>
      </c>
    </row>
    <row r="36" spans="6:12" ht="15" thickBot="1" x14ac:dyDescent="0.35">
      <c r="F36" s="226"/>
      <c r="G36" s="227"/>
      <c r="H36" s="80" t="s">
        <v>128</v>
      </c>
      <c r="I36" s="81"/>
      <c r="J36" s="81"/>
      <c r="K36" s="81"/>
      <c r="L36" s="82">
        <f>'[2]Reduced OA Heating Calc'!I75</f>
        <v>0</v>
      </c>
    </row>
    <row r="37" spans="6:12" ht="15" thickBot="1" x14ac:dyDescent="0.35">
      <c r="F37" s="228"/>
      <c r="G37" s="229"/>
      <c r="H37" s="64" t="s">
        <v>129</v>
      </c>
      <c r="L37" s="83">
        <f>L36+L32</f>
        <v>683.33466966003846</v>
      </c>
    </row>
    <row r="38" spans="6:12" x14ac:dyDescent="0.3">
      <c r="F38" s="230" t="s">
        <v>130</v>
      </c>
      <c r="G38" s="231"/>
      <c r="H38" s="69" t="s">
        <v>131</v>
      </c>
      <c r="I38" s="70"/>
      <c r="J38" s="70"/>
      <c r="K38" s="70"/>
      <c r="L38" s="84">
        <f>P30</f>
        <v>3000</v>
      </c>
    </row>
    <row r="39" spans="6:12" ht="15" thickBot="1" x14ac:dyDescent="0.35">
      <c r="F39" s="232"/>
      <c r="G39" s="233"/>
      <c r="H39" s="80" t="s">
        <v>132</v>
      </c>
      <c r="I39" s="81"/>
      <c r="J39" s="81"/>
      <c r="K39" s="81"/>
      <c r="L39" s="85">
        <f>L38/L37</f>
        <v>4.390235316894592</v>
      </c>
    </row>
  </sheetData>
  <mergeCells count="3">
    <mergeCell ref="F28:L28"/>
    <mergeCell ref="F29:G37"/>
    <mergeCell ref="F38:G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CC42-D338-4932-ACB0-3E29C4F26A95}">
  <dimension ref="D2:L44"/>
  <sheetViews>
    <sheetView showGridLines="0" workbookViewId="0">
      <selection activeCell="F33" sqref="F33:L44"/>
    </sheetView>
  </sheetViews>
  <sheetFormatPr defaultRowHeight="14.4" x14ac:dyDescent="0.3"/>
  <cols>
    <col min="10" max="10" width="11.21875" bestFit="1" customWidth="1"/>
    <col min="11" max="11" width="22.88671875" customWidth="1"/>
    <col min="12" max="12" width="19.77734375" customWidth="1"/>
  </cols>
  <sheetData>
    <row r="2" spans="4:6" ht="15" thickBot="1" x14ac:dyDescent="0.35"/>
    <row r="3" spans="4:6" ht="18.600000000000001" thickBot="1" x14ac:dyDescent="0.4">
      <c r="D3" s="96" t="s">
        <v>173</v>
      </c>
      <c r="E3" s="97" t="s">
        <v>272</v>
      </c>
      <c r="F3" s="98"/>
    </row>
    <row r="5" spans="4:6" x14ac:dyDescent="0.3">
      <c r="D5" s="101" t="s">
        <v>175</v>
      </c>
    </row>
    <row r="6" spans="4:6" x14ac:dyDescent="0.3">
      <c r="D6" s="101" t="s">
        <v>176</v>
      </c>
    </row>
    <row r="7" spans="4:6" x14ac:dyDescent="0.3">
      <c r="D7" s="102" t="s">
        <v>177</v>
      </c>
    </row>
    <row r="9" spans="4:6" x14ac:dyDescent="0.3">
      <c r="D9" s="101" t="s">
        <v>178</v>
      </c>
    </row>
    <row r="30" spans="8:11" x14ac:dyDescent="0.3">
      <c r="H30" s="101" t="s">
        <v>179</v>
      </c>
      <c r="J30" s="103">
        <v>135180</v>
      </c>
      <c r="K30" s="101" t="s">
        <v>71</v>
      </c>
    </row>
    <row r="31" spans="8:11" x14ac:dyDescent="0.3">
      <c r="H31" s="101" t="s">
        <v>180</v>
      </c>
      <c r="J31" s="104">
        <f>100320</f>
        <v>100320</v>
      </c>
      <c r="K31" s="101" t="s">
        <v>71</v>
      </c>
    </row>
    <row r="32" spans="8:11" ht="15" thickBot="1" x14ac:dyDescent="0.35"/>
    <row r="33" spans="6:12" ht="15" thickBot="1" x14ac:dyDescent="0.35">
      <c r="F33" s="238" t="s">
        <v>195</v>
      </c>
      <c r="G33" s="239"/>
      <c r="H33" s="239"/>
      <c r="I33" s="239"/>
      <c r="J33" s="239"/>
      <c r="K33" s="239"/>
      <c r="L33" s="240"/>
    </row>
    <row r="34" spans="6:12" x14ac:dyDescent="0.3">
      <c r="F34" s="224" t="s">
        <v>117</v>
      </c>
      <c r="G34" s="225"/>
      <c r="H34" s="69" t="s">
        <v>118</v>
      </c>
      <c r="I34" s="70"/>
      <c r="J34" s="70"/>
      <c r="K34" s="70"/>
      <c r="L34" s="71">
        <f>J30</f>
        <v>135180</v>
      </c>
    </row>
    <row r="35" spans="6:12" x14ac:dyDescent="0.3">
      <c r="F35" s="226"/>
      <c r="G35" s="227"/>
      <c r="H35" s="72" t="s">
        <v>120</v>
      </c>
      <c r="I35" s="64"/>
      <c r="J35" s="64"/>
      <c r="K35" s="64"/>
      <c r="L35" s="73">
        <f>J31</f>
        <v>100320</v>
      </c>
    </row>
    <row r="36" spans="6:12" x14ac:dyDescent="0.3">
      <c r="F36" s="226"/>
      <c r="G36" s="227"/>
      <c r="H36" s="72" t="s">
        <v>122</v>
      </c>
      <c r="I36" s="64"/>
      <c r="J36" s="64"/>
      <c r="K36" s="64"/>
      <c r="L36" s="73">
        <f>L34-L35</f>
        <v>34860</v>
      </c>
    </row>
    <row r="37" spans="6:12" x14ac:dyDescent="0.3">
      <c r="F37" s="226"/>
      <c r="G37" s="227"/>
      <c r="H37" s="74" t="s">
        <v>123</v>
      </c>
      <c r="I37" s="75"/>
      <c r="J37" s="75"/>
      <c r="K37" s="75"/>
      <c r="L37" s="76">
        <f>L36*'2021 Utility'!I19</f>
        <v>3529.0439384220654</v>
      </c>
    </row>
    <row r="38" spans="6:12" x14ac:dyDescent="0.3">
      <c r="F38" s="226"/>
      <c r="G38" s="227"/>
      <c r="H38" s="77" t="s">
        <v>125</v>
      </c>
      <c r="I38" s="78"/>
      <c r="J38" s="78"/>
      <c r="K38" s="78"/>
      <c r="L38" s="79" t="s">
        <v>96</v>
      </c>
    </row>
    <row r="39" spans="6:12" x14ac:dyDescent="0.3">
      <c r="F39" s="226"/>
      <c r="G39" s="227"/>
      <c r="H39" s="72" t="s">
        <v>126</v>
      </c>
      <c r="I39" s="64"/>
      <c r="J39" s="64"/>
      <c r="K39" s="64"/>
      <c r="L39" s="73" t="s">
        <v>96</v>
      </c>
    </row>
    <row r="40" spans="6:12" x14ac:dyDescent="0.3">
      <c r="F40" s="226"/>
      <c r="G40" s="227"/>
      <c r="H40" s="72" t="s">
        <v>127</v>
      </c>
      <c r="I40" s="64"/>
      <c r="J40" s="64"/>
      <c r="K40" s="64"/>
      <c r="L40" s="73" t="s">
        <v>96</v>
      </c>
    </row>
    <row r="41" spans="6:12" ht="15" thickBot="1" x14ac:dyDescent="0.35">
      <c r="F41" s="226"/>
      <c r="G41" s="227"/>
      <c r="H41" s="80" t="s">
        <v>128</v>
      </c>
      <c r="I41" s="81"/>
      <c r="J41" s="81"/>
      <c r="K41" s="81"/>
      <c r="L41" s="105" t="s">
        <v>96</v>
      </c>
    </row>
    <row r="42" spans="6:12" ht="15" thickBot="1" x14ac:dyDescent="0.35">
      <c r="F42" s="228"/>
      <c r="G42" s="229"/>
      <c r="H42" s="64" t="s">
        <v>129</v>
      </c>
      <c r="I42" s="64"/>
      <c r="J42" s="64"/>
      <c r="K42" s="64"/>
      <c r="L42" s="83">
        <f>L37</f>
        <v>3529.0439384220654</v>
      </c>
    </row>
    <row r="43" spans="6:12" x14ac:dyDescent="0.3">
      <c r="F43" s="230" t="s">
        <v>130</v>
      </c>
      <c r="G43" s="231"/>
      <c r="H43" s="69" t="s">
        <v>131</v>
      </c>
      <c r="I43" s="70"/>
      <c r="J43" s="70"/>
      <c r="K43" s="70"/>
      <c r="L43" s="84">
        <v>72976</v>
      </c>
    </row>
    <row r="44" spans="6:12" ht="15" thickBot="1" x14ac:dyDescent="0.35">
      <c r="F44" s="232"/>
      <c r="G44" s="233"/>
      <c r="H44" s="80" t="s">
        <v>132</v>
      </c>
      <c r="I44" s="81"/>
      <c r="J44" s="81"/>
      <c r="K44" s="81"/>
      <c r="L44" s="85">
        <f>L43/L42</f>
        <v>20.678688413448775</v>
      </c>
    </row>
  </sheetData>
  <mergeCells count="3">
    <mergeCell ref="F34:G42"/>
    <mergeCell ref="F43:G44"/>
    <mergeCell ref="F33:L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2310-5617-4962-BCEB-0DE872B74E2E}">
  <dimension ref="E3:Q26"/>
  <sheetViews>
    <sheetView topLeftCell="B10" zoomScale="110" zoomScaleNormal="110" workbookViewId="0">
      <selection activeCell="E23" sqref="E23"/>
    </sheetView>
  </sheetViews>
  <sheetFormatPr defaultRowHeight="14.4" x14ac:dyDescent="0.3"/>
  <cols>
    <col min="1" max="4" width="8.88671875" style="64"/>
    <col min="5" max="5" width="30.88671875" style="64" customWidth="1"/>
    <col min="6" max="8" width="8.88671875" style="64"/>
    <col min="9" max="9" width="16.6640625" style="64" customWidth="1"/>
    <col min="10" max="10" width="13.33203125" style="64" customWidth="1"/>
    <col min="11" max="11" width="15.44140625" style="64" customWidth="1"/>
    <col min="12" max="16384" width="8.88671875" style="64"/>
  </cols>
  <sheetData>
    <row r="3" spans="5:17" x14ac:dyDescent="0.3">
      <c r="E3" s="65" t="s">
        <v>190</v>
      </c>
      <c r="N3" s="64" t="s">
        <v>70</v>
      </c>
      <c r="O3" s="64" t="s">
        <v>70</v>
      </c>
      <c r="Q3" s="64" t="s">
        <v>181</v>
      </c>
    </row>
    <row r="4" spans="5:17" x14ac:dyDescent="0.3">
      <c r="E4" s="65" t="s">
        <v>191</v>
      </c>
      <c r="H4" s="64" t="s">
        <v>70</v>
      </c>
    </row>
    <row r="5" spans="5:17" x14ac:dyDescent="0.3">
      <c r="E5" s="65"/>
      <c r="H5" s="64" t="s">
        <v>70</v>
      </c>
      <c r="I5" s="64" t="s">
        <v>70</v>
      </c>
      <c r="J5" s="64" t="s">
        <v>182</v>
      </c>
    </row>
    <row r="6" spans="5:17" x14ac:dyDescent="0.3">
      <c r="E6" s="64" t="s">
        <v>183</v>
      </c>
      <c r="F6" s="87">
        <f>'2021 Utility'!I19</f>
        <v>0.10123476587556125</v>
      </c>
      <c r="G6" s="106"/>
      <c r="H6" s="64">
        <v>1500</v>
      </c>
      <c r="I6" s="64" t="s">
        <v>184</v>
      </c>
      <c r="J6" s="64" t="s">
        <v>185</v>
      </c>
    </row>
    <row r="7" spans="5:17" x14ac:dyDescent="0.3">
      <c r="J7" s="64" t="s">
        <v>186</v>
      </c>
    </row>
    <row r="8" spans="5:17" x14ac:dyDescent="0.3">
      <c r="E8" s="65" t="s">
        <v>70</v>
      </c>
    </row>
    <row r="9" spans="5:17" x14ac:dyDescent="0.3">
      <c r="E9" s="64" t="s">
        <v>192</v>
      </c>
      <c r="F9" s="64">
        <v>5</v>
      </c>
      <c r="G9" s="64" t="s">
        <v>73</v>
      </c>
    </row>
    <row r="10" spans="5:17" x14ac:dyDescent="0.3">
      <c r="E10" s="64" t="s">
        <v>187</v>
      </c>
      <c r="F10" s="64">
        <f>H6</f>
        <v>1500</v>
      </c>
      <c r="G10" s="64" t="s">
        <v>188</v>
      </c>
      <c r="H10" s="64" t="s">
        <v>70</v>
      </c>
    </row>
    <row r="11" spans="5:17" x14ac:dyDescent="0.3">
      <c r="I11" s="64" t="s">
        <v>193</v>
      </c>
    </row>
    <row r="12" spans="5:17" x14ac:dyDescent="0.3">
      <c r="E12" s="64" t="s">
        <v>189</v>
      </c>
      <c r="F12" s="64">
        <f>F9*F10</f>
        <v>7500</v>
      </c>
      <c r="G12" s="64" t="s">
        <v>71</v>
      </c>
    </row>
    <row r="14" spans="5:17" x14ac:dyDescent="0.3">
      <c r="E14" s="254" t="s">
        <v>70</v>
      </c>
    </row>
    <row r="16" spans="5:17" ht="15" thickBot="1" x14ac:dyDescent="0.35"/>
    <row r="17" spans="8:14" ht="15" thickBot="1" x14ac:dyDescent="0.35">
      <c r="H17" s="220" t="s">
        <v>196</v>
      </c>
      <c r="I17" s="221"/>
      <c r="J17" s="221"/>
      <c r="K17" s="221"/>
      <c r="L17" s="221"/>
      <c r="M17" s="221"/>
      <c r="N17" s="241"/>
    </row>
    <row r="18" spans="8:14" x14ac:dyDescent="0.3">
      <c r="H18" s="226"/>
      <c r="I18" s="227"/>
      <c r="J18" s="72" t="s">
        <v>122</v>
      </c>
      <c r="N18" s="73">
        <f>F12</f>
        <v>7500</v>
      </c>
    </row>
    <row r="19" spans="8:14" x14ac:dyDescent="0.3">
      <c r="H19" s="226"/>
      <c r="I19" s="227"/>
      <c r="J19" s="74" t="s">
        <v>123</v>
      </c>
      <c r="K19" s="75"/>
      <c r="L19" s="75"/>
      <c r="M19" s="75"/>
      <c r="N19" s="76">
        <f>F12*F6</f>
        <v>759.26074406670944</v>
      </c>
    </row>
    <row r="20" spans="8:14" x14ac:dyDescent="0.3">
      <c r="H20" s="226"/>
      <c r="I20" s="227"/>
      <c r="J20" s="77" t="s">
        <v>125</v>
      </c>
      <c r="K20" s="78"/>
      <c r="L20" s="78"/>
      <c r="M20" s="78"/>
      <c r="N20" s="79">
        <v>0</v>
      </c>
    </row>
    <row r="21" spans="8:14" x14ac:dyDescent="0.3">
      <c r="H21" s="226"/>
      <c r="I21" s="227"/>
      <c r="J21" s="72" t="s">
        <v>126</v>
      </c>
      <c r="N21" s="73">
        <v>0</v>
      </c>
    </row>
    <row r="22" spans="8:14" x14ac:dyDescent="0.3">
      <c r="H22" s="226"/>
      <c r="I22" s="227"/>
      <c r="J22" s="72" t="s">
        <v>127</v>
      </c>
      <c r="N22" s="73">
        <f>N20-N21</f>
        <v>0</v>
      </c>
    </row>
    <row r="23" spans="8:14" ht="15" thickBot="1" x14ac:dyDescent="0.35">
      <c r="H23" s="226"/>
      <c r="I23" s="227"/>
      <c r="J23" s="80" t="s">
        <v>128</v>
      </c>
      <c r="K23" s="81"/>
      <c r="L23" s="81"/>
      <c r="M23" s="81"/>
      <c r="N23" s="82">
        <v>0</v>
      </c>
    </row>
    <row r="24" spans="8:14" ht="15" thickBot="1" x14ac:dyDescent="0.35">
      <c r="H24" s="228"/>
      <c r="I24" s="229"/>
      <c r="J24" s="64" t="s">
        <v>129</v>
      </c>
      <c r="N24" s="83">
        <f>N19</f>
        <v>759.26074406670944</v>
      </c>
    </row>
    <row r="25" spans="8:14" x14ac:dyDescent="0.3">
      <c r="H25" s="230" t="s">
        <v>130</v>
      </c>
      <c r="I25" s="231"/>
      <c r="J25" s="69" t="s">
        <v>131</v>
      </c>
      <c r="K25" s="70"/>
      <c r="L25" s="70"/>
      <c r="M25" s="70"/>
      <c r="N25" s="84">
        <f>150*15</f>
        <v>2250</v>
      </c>
    </row>
    <row r="26" spans="8:14" ht="15" thickBot="1" x14ac:dyDescent="0.35">
      <c r="H26" s="232"/>
      <c r="I26" s="233"/>
      <c r="J26" s="80" t="s">
        <v>132</v>
      </c>
      <c r="K26" s="81"/>
      <c r="L26" s="81"/>
      <c r="M26" s="81"/>
      <c r="N26" s="85">
        <f>N25/N24</f>
        <v>2.9634088389038493</v>
      </c>
    </row>
  </sheetData>
  <mergeCells count="3">
    <mergeCell ref="H17:N17"/>
    <mergeCell ref="H18:I24"/>
    <mergeCell ref="H25:I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F658-6405-44EE-B9CB-3E4E7F8620A6}">
  <dimension ref="E3:N29"/>
  <sheetViews>
    <sheetView topLeftCell="B1" zoomScale="110" zoomScaleNormal="110" workbookViewId="0">
      <selection activeCell="E3" sqref="E3:K15"/>
    </sheetView>
  </sheetViews>
  <sheetFormatPr defaultRowHeight="14.4" x14ac:dyDescent="0.3"/>
  <cols>
    <col min="1" max="4" width="8.88671875" style="64"/>
    <col min="5" max="5" width="30.88671875" style="64" customWidth="1"/>
    <col min="6" max="6" width="10" style="64" bestFit="1" customWidth="1"/>
    <col min="7" max="7" width="8.109375" style="64" customWidth="1"/>
    <col min="8" max="8" width="18.109375" style="64" customWidth="1"/>
    <col min="9" max="9" width="16.6640625" style="64" customWidth="1"/>
    <col min="10" max="10" width="13.33203125" style="64" customWidth="1"/>
    <col min="11" max="11" width="15.44140625" style="64" customWidth="1"/>
    <col min="12" max="16384" width="8.88671875" style="64"/>
  </cols>
  <sheetData>
    <row r="3" spans="5:10" x14ac:dyDescent="0.3">
      <c r="E3" s="65" t="s">
        <v>229</v>
      </c>
      <c r="H3" s="64" t="s">
        <v>181</v>
      </c>
    </row>
    <row r="4" spans="5:10" x14ac:dyDescent="0.3">
      <c r="E4" s="65" t="s">
        <v>230</v>
      </c>
    </row>
    <row r="5" spans="5:10" x14ac:dyDescent="0.3">
      <c r="E5" s="65"/>
      <c r="H5" s="145" t="s">
        <v>242</v>
      </c>
    </row>
    <row r="6" spans="5:10" x14ac:dyDescent="0.3">
      <c r="E6" s="64" t="s">
        <v>183</v>
      </c>
      <c r="F6" s="87">
        <f>'2021 Utility'!I19</f>
        <v>0.10123476587556125</v>
      </c>
      <c r="G6" s="106"/>
      <c r="H6" s="146" t="s">
        <v>232</v>
      </c>
      <c r="I6" s="145">
        <f>8*3*50</f>
        <v>1200</v>
      </c>
      <c r="J6" s="145" t="s">
        <v>233</v>
      </c>
    </row>
    <row r="7" spans="5:10" x14ac:dyDescent="0.3">
      <c r="H7" s="146" t="s">
        <v>234</v>
      </c>
      <c r="I7" s="149">
        <v>0.75</v>
      </c>
    </row>
    <row r="8" spans="5:10" x14ac:dyDescent="0.3">
      <c r="E8" s="65" t="s">
        <v>175</v>
      </c>
      <c r="H8" s="146" t="s">
        <v>235</v>
      </c>
      <c r="I8" s="148">
        <v>0.84</v>
      </c>
      <c r="J8" s="145" t="s">
        <v>236</v>
      </c>
    </row>
    <row r="9" spans="5:10" x14ac:dyDescent="0.3">
      <c r="E9" s="145" t="s">
        <v>231</v>
      </c>
      <c r="F9" s="145" t="s">
        <v>70</v>
      </c>
      <c r="G9" s="145" t="s">
        <v>70</v>
      </c>
      <c r="H9" s="146" t="s">
        <v>235</v>
      </c>
      <c r="I9" s="147">
        <v>0.91700000000000004</v>
      </c>
      <c r="J9" s="145" t="s">
        <v>237</v>
      </c>
    </row>
    <row r="10" spans="5:10" x14ac:dyDescent="0.3">
      <c r="E10" s="145" t="s">
        <v>244</v>
      </c>
      <c r="F10" s="67">
        <f>3*3*0.746*0.75/0.84*I6</f>
        <v>7193.5714285714294</v>
      </c>
      <c r="G10" s="145" t="s">
        <v>71</v>
      </c>
      <c r="H10" s="145" t="s">
        <v>243</v>
      </c>
    </row>
    <row r="11" spans="5:10" x14ac:dyDescent="0.3">
      <c r="H11" s="145" t="s">
        <v>245</v>
      </c>
      <c r="I11" s="150">
        <v>100</v>
      </c>
      <c r="J11" s="145" t="s">
        <v>238</v>
      </c>
    </row>
    <row r="12" spans="5:10" x14ac:dyDescent="0.3">
      <c r="E12" s="65" t="s">
        <v>239</v>
      </c>
      <c r="F12" s="145" t="s">
        <v>70</v>
      </c>
      <c r="G12" s="145" t="s">
        <v>70</v>
      </c>
    </row>
    <row r="13" spans="5:10" x14ac:dyDescent="0.3">
      <c r="E13" s="145" t="s">
        <v>240</v>
      </c>
      <c r="F13" s="67">
        <f>3*3*0.746*0.75/0.917*I6</f>
        <v>6589.5310796074164</v>
      </c>
      <c r="G13" s="145" t="s">
        <v>71</v>
      </c>
    </row>
    <row r="17" spans="8:14" ht="15" thickBot="1" x14ac:dyDescent="0.35"/>
    <row r="18" spans="8:14" ht="15" thickBot="1" x14ac:dyDescent="0.35">
      <c r="H18" s="238" t="s">
        <v>241</v>
      </c>
      <c r="I18" s="239"/>
      <c r="J18" s="239"/>
      <c r="K18" s="239"/>
      <c r="L18" s="239"/>
      <c r="M18" s="239"/>
      <c r="N18" s="240"/>
    </row>
    <row r="19" spans="8:14" x14ac:dyDescent="0.3">
      <c r="H19" s="224" t="s">
        <v>117</v>
      </c>
      <c r="I19" s="225"/>
      <c r="J19" s="69" t="s">
        <v>118</v>
      </c>
      <c r="K19" s="70"/>
      <c r="L19" s="70"/>
      <c r="M19" s="70"/>
      <c r="N19" s="71">
        <f>F10</f>
        <v>7193.5714285714294</v>
      </c>
    </row>
    <row r="20" spans="8:14" x14ac:dyDescent="0.3">
      <c r="H20" s="226"/>
      <c r="I20" s="227"/>
      <c r="J20" s="72" t="s">
        <v>120</v>
      </c>
      <c r="N20" s="73">
        <f>F13</f>
        <v>6589.5310796074164</v>
      </c>
    </row>
    <row r="21" spans="8:14" x14ac:dyDescent="0.3">
      <c r="H21" s="226"/>
      <c r="I21" s="227"/>
      <c r="J21" s="72" t="s">
        <v>122</v>
      </c>
      <c r="N21" s="73">
        <f>N19-N20</f>
        <v>604.04034896401299</v>
      </c>
    </row>
    <row r="22" spans="8:14" x14ac:dyDescent="0.3">
      <c r="H22" s="226"/>
      <c r="I22" s="227"/>
      <c r="J22" s="74" t="s">
        <v>123</v>
      </c>
      <c r="K22" s="75"/>
      <c r="L22" s="75"/>
      <c r="M22" s="75"/>
      <c r="N22" s="76">
        <f>N21*F6</f>
        <v>61.149883306764174</v>
      </c>
    </row>
    <row r="23" spans="8:14" x14ac:dyDescent="0.3">
      <c r="H23" s="226"/>
      <c r="I23" s="227"/>
      <c r="J23" s="77" t="s">
        <v>125</v>
      </c>
      <c r="K23" s="78"/>
      <c r="L23" s="78"/>
      <c r="M23" s="78"/>
      <c r="N23" s="79" t="s">
        <v>96</v>
      </c>
    </row>
    <row r="24" spans="8:14" x14ac:dyDescent="0.3">
      <c r="H24" s="226"/>
      <c r="I24" s="227"/>
      <c r="J24" s="72" t="s">
        <v>126</v>
      </c>
      <c r="N24" s="73" t="s">
        <v>96</v>
      </c>
    </row>
    <row r="25" spans="8:14" x14ac:dyDescent="0.3">
      <c r="H25" s="226"/>
      <c r="I25" s="227"/>
      <c r="J25" s="72" t="s">
        <v>127</v>
      </c>
      <c r="N25" s="73" t="s">
        <v>96</v>
      </c>
    </row>
    <row r="26" spans="8:14" ht="15" thickBot="1" x14ac:dyDescent="0.35">
      <c r="H26" s="226"/>
      <c r="I26" s="227"/>
      <c r="J26" s="80" t="s">
        <v>128</v>
      </c>
      <c r="K26" s="81"/>
      <c r="L26" s="81"/>
      <c r="M26" s="81"/>
      <c r="N26" s="105" t="s">
        <v>96</v>
      </c>
    </row>
    <row r="27" spans="8:14" ht="15" thickBot="1" x14ac:dyDescent="0.35">
      <c r="H27" s="228"/>
      <c r="I27" s="229"/>
      <c r="J27" s="64" t="s">
        <v>129</v>
      </c>
      <c r="N27" s="83">
        <f>N22</f>
        <v>61.149883306764174</v>
      </c>
    </row>
    <row r="28" spans="8:14" x14ac:dyDescent="0.3">
      <c r="H28" s="230" t="s">
        <v>130</v>
      </c>
      <c r="I28" s="231"/>
      <c r="J28" s="69" t="s">
        <v>131</v>
      </c>
      <c r="K28" s="70"/>
      <c r="L28" s="70"/>
      <c r="M28" s="70"/>
      <c r="N28" s="84">
        <f>3*I11</f>
        <v>300</v>
      </c>
    </row>
    <row r="29" spans="8:14" ht="15" thickBot="1" x14ac:dyDescent="0.35">
      <c r="H29" s="232"/>
      <c r="I29" s="233"/>
      <c r="J29" s="80" t="s">
        <v>132</v>
      </c>
      <c r="K29" s="81"/>
      <c r="L29" s="81"/>
      <c r="M29" s="81"/>
      <c r="N29" s="85">
        <f>N28/N27</f>
        <v>4.9059782909972469</v>
      </c>
    </row>
  </sheetData>
  <mergeCells count="3">
    <mergeCell ref="H18:N18"/>
    <mergeCell ref="H19:I27"/>
    <mergeCell ref="H28:I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1F55-846D-4E71-86A4-B9957A570D1D}">
  <dimension ref="D5:O29"/>
  <sheetViews>
    <sheetView topLeftCell="A4" workbookViewId="0">
      <selection activeCell="E20" sqref="E20"/>
    </sheetView>
  </sheetViews>
  <sheetFormatPr defaultRowHeight="14.4" x14ac:dyDescent="0.3"/>
  <cols>
    <col min="1" max="3" width="8.88671875" style="152"/>
    <col min="4" max="4" width="13.44140625" style="152" customWidth="1"/>
    <col min="5" max="5" width="13.88671875" style="152" customWidth="1"/>
    <col min="6" max="7" width="17.88671875" style="152" customWidth="1"/>
    <col min="8" max="8" width="19.109375" style="152" customWidth="1"/>
    <col min="9" max="16384" width="8.88671875" style="152"/>
  </cols>
  <sheetData>
    <row r="5" spans="4:15" x14ac:dyDescent="0.3">
      <c r="D5" s="152" t="s">
        <v>147</v>
      </c>
    </row>
    <row r="7" spans="4:15" x14ac:dyDescent="0.3">
      <c r="D7" s="152" t="s">
        <v>148</v>
      </c>
      <c r="E7" s="152" t="s">
        <v>149</v>
      </c>
      <c r="F7" s="152" t="s">
        <v>150</v>
      </c>
      <c r="G7" s="152" t="s">
        <v>151</v>
      </c>
      <c r="H7" s="152" t="s">
        <v>152</v>
      </c>
    </row>
    <row r="8" spans="4:15" x14ac:dyDescent="0.3">
      <c r="E8" s="152" t="s">
        <v>93</v>
      </c>
    </row>
    <row r="9" spans="4:15" x14ac:dyDescent="0.3">
      <c r="D9" s="182">
        <v>44224</v>
      </c>
      <c r="E9" s="152">
        <v>223.1</v>
      </c>
      <c r="F9" s="183">
        <v>178.97</v>
      </c>
      <c r="G9" s="183">
        <v>15</v>
      </c>
      <c r="H9" s="183">
        <v>8.83</v>
      </c>
      <c r="M9" s="152" t="s">
        <v>153</v>
      </c>
      <c r="N9" s="152" t="s">
        <v>154</v>
      </c>
    </row>
    <row r="10" spans="4:15" x14ac:dyDescent="0.3">
      <c r="D10" s="182">
        <v>44253</v>
      </c>
      <c r="E10" s="152">
        <v>254.7</v>
      </c>
      <c r="F10" s="183">
        <v>204.32</v>
      </c>
      <c r="G10" s="183">
        <v>15</v>
      </c>
      <c r="H10" s="183">
        <v>9.9700000000000006</v>
      </c>
      <c r="M10" s="152" t="s">
        <v>155</v>
      </c>
      <c r="N10" s="152" t="s">
        <v>156</v>
      </c>
    </row>
    <row r="11" spans="4:15" x14ac:dyDescent="0.3">
      <c r="D11" s="182">
        <v>44284</v>
      </c>
      <c r="E11" s="152">
        <v>66.2</v>
      </c>
      <c r="F11" s="183">
        <v>53.1</v>
      </c>
      <c r="G11" s="183">
        <v>15</v>
      </c>
      <c r="H11" s="183">
        <v>3.1</v>
      </c>
    </row>
    <row r="12" spans="4:15" x14ac:dyDescent="0.3">
      <c r="D12" s="182">
        <v>44313</v>
      </c>
      <c r="E12" s="152">
        <v>18.899999999999999</v>
      </c>
      <c r="F12" s="183">
        <v>15.16</v>
      </c>
      <c r="G12" s="183">
        <v>15</v>
      </c>
      <c r="H12" s="183">
        <v>1.38</v>
      </c>
      <c r="M12" s="152" t="s">
        <v>153</v>
      </c>
      <c r="N12" s="152" t="s">
        <v>157</v>
      </c>
    </row>
    <row r="13" spans="4:15" x14ac:dyDescent="0.3">
      <c r="D13" s="182">
        <v>44342</v>
      </c>
      <c r="E13" s="152">
        <v>9.6</v>
      </c>
      <c r="F13" s="183">
        <v>7.7</v>
      </c>
      <c r="G13" s="183">
        <v>15</v>
      </c>
      <c r="H13" s="183">
        <v>1.03</v>
      </c>
    </row>
    <row r="14" spans="4:15" x14ac:dyDescent="0.3">
      <c r="D14" s="182">
        <v>44372</v>
      </c>
      <c r="E14" s="152">
        <v>798.4</v>
      </c>
      <c r="F14" s="183">
        <v>640.47</v>
      </c>
      <c r="G14" s="183">
        <v>15</v>
      </c>
      <c r="H14" s="183">
        <v>29.82</v>
      </c>
    </row>
    <row r="15" spans="4:15" x14ac:dyDescent="0.3">
      <c r="D15" s="182">
        <v>44404</v>
      </c>
      <c r="E15" s="152">
        <v>757</v>
      </c>
      <c r="F15" s="183">
        <v>607.26</v>
      </c>
      <c r="G15" s="183">
        <v>15</v>
      </c>
      <c r="H15" s="183">
        <v>28.31</v>
      </c>
      <c r="O15" s="152" t="s">
        <v>70</v>
      </c>
    </row>
    <row r="16" spans="4:15" x14ac:dyDescent="0.3">
      <c r="D16" s="182">
        <v>44433</v>
      </c>
      <c r="E16" s="152">
        <v>146.9</v>
      </c>
      <c r="F16" s="183">
        <v>117.84</v>
      </c>
      <c r="G16" s="183">
        <v>15</v>
      </c>
      <c r="H16" s="183">
        <v>6.05</v>
      </c>
    </row>
    <row r="17" spans="4:8" x14ac:dyDescent="0.3">
      <c r="D17" s="182">
        <v>44463</v>
      </c>
      <c r="E17" s="152">
        <v>113.1</v>
      </c>
      <c r="F17" s="183">
        <v>90.73</v>
      </c>
      <c r="G17" s="183">
        <v>15</v>
      </c>
      <c r="H17" s="183">
        <v>4.8099999999999996</v>
      </c>
    </row>
    <row r="18" spans="4:8" x14ac:dyDescent="0.3">
      <c r="D18" s="182">
        <v>44494</v>
      </c>
      <c r="E18" s="152">
        <v>255.5</v>
      </c>
      <c r="F18" s="183">
        <v>204.96</v>
      </c>
      <c r="G18" s="183">
        <v>15</v>
      </c>
      <c r="H18" s="183">
        <v>10.01</v>
      </c>
    </row>
    <row r="19" spans="4:8" x14ac:dyDescent="0.3">
      <c r="D19" s="182">
        <v>44523</v>
      </c>
      <c r="E19" s="152">
        <v>540.20000000000005</v>
      </c>
      <c r="F19" s="183">
        <v>433.34</v>
      </c>
      <c r="G19" s="183">
        <v>8.7899999999999991</v>
      </c>
      <c r="H19" s="183">
        <v>36.92</v>
      </c>
    </row>
    <row r="20" spans="4:8" x14ac:dyDescent="0.3">
      <c r="D20" s="182">
        <v>44523</v>
      </c>
      <c r="E20" s="152">
        <v>381.3</v>
      </c>
      <c r="F20" s="183">
        <v>362.92</v>
      </c>
      <c r="G20" s="183">
        <v>6.21</v>
      </c>
      <c r="H20" s="183">
        <v>0</v>
      </c>
    </row>
    <row r="21" spans="4:8" x14ac:dyDescent="0.3">
      <c r="D21" s="182">
        <v>44558</v>
      </c>
      <c r="E21" s="152">
        <v>315.7</v>
      </c>
      <c r="F21" s="183">
        <v>300.48</v>
      </c>
      <c r="G21" s="183">
        <v>15</v>
      </c>
      <c r="H21" s="183">
        <v>14.35</v>
      </c>
    </row>
    <row r="23" spans="4:8" x14ac:dyDescent="0.3">
      <c r="D23" s="152" t="s">
        <v>158</v>
      </c>
      <c r="E23" s="152">
        <f>SUM(E9:E22)</f>
        <v>3880.6000000000004</v>
      </c>
      <c r="F23" s="184">
        <f>SUM(F9:F22)</f>
        <v>3217.25</v>
      </c>
      <c r="G23" s="184">
        <f>SUM(G9:G21)</f>
        <v>180</v>
      </c>
      <c r="H23" s="184">
        <f>SUM(H9:H21)</f>
        <v>154.58000000000001</v>
      </c>
    </row>
    <row r="27" spans="4:8" x14ac:dyDescent="0.3">
      <c r="E27" s="152">
        <f>E23/10</f>
        <v>388.06000000000006</v>
      </c>
      <c r="F27" s="152" t="s">
        <v>159</v>
      </c>
    </row>
    <row r="28" spans="4:8" x14ac:dyDescent="0.3">
      <c r="E28" s="184">
        <f>F23/E27</f>
        <v>8.2905993918466212</v>
      </c>
      <c r="F28" s="152" t="s">
        <v>160</v>
      </c>
    </row>
    <row r="29" spans="4:8" x14ac:dyDescent="0.3">
      <c r="E29" s="184">
        <f>G23+H23</f>
        <v>334.58000000000004</v>
      </c>
      <c r="F29" s="15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Contacts </vt:lpstr>
      <vt:lpstr>2021 Utility</vt:lpstr>
      <vt:lpstr>EEM Summary</vt:lpstr>
      <vt:lpstr>EEM #1 Lighting Upgrade  </vt:lpstr>
      <vt:lpstr>EEM #2  Occupancy Sensors</vt:lpstr>
      <vt:lpstr>EEM #3 Building Insulation</vt:lpstr>
      <vt:lpstr>EEM #4 Programmable Tstats</vt:lpstr>
      <vt:lpstr>EEM #5 Premium Eff Motors</vt:lpstr>
      <vt:lpstr>2021 Natural Gas</vt:lpstr>
      <vt:lpstr>2021 Electrical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Lane</cp:lastModifiedBy>
  <dcterms:created xsi:type="dcterms:W3CDTF">2022-08-08T19:34:53Z</dcterms:created>
  <dcterms:modified xsi:type="dcterms:W3CDTF">2022-09-13T23:17:17Z</dcterms:modified>
</cp:coreProperties>
</file>