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suzan\OneDrive\Documents\CBEA\Sunset Office\"/>
    </mc:Choice>
  </mc:AlternateContent>
  <xr:revisionPtr revIDLastSave="0" documentId="13_ncr:1_{043E2D57-3B98-4597-A1DE-B78545784EB3}" xr6:coauthVersionLast="47" xr6:coauthVersionMax="47" xr10:uidLastSave="{00000000-0000-0000-0000-000000000000}"/>
  <bookViews>
    <workbookView xWindow="-96" yWindow="-96" windowWidth="23232" windowHeight="12432" activeTab="3" xr2:uid="{00000000-000D-0000-FFFF-FFFF00000000}"/>
  </bookViews>
  <sheets>
    <sheet name="Contacts " sheetId="10" r:id="rId1"/>
    <sheet name="Historic Energy Use" sheetId="20" r:id="rId2"/>
    <sheet name="2021Energy Cost Analysis" sheetId="19" r:id="rId3"/>
    <sheet name="EEM Summary" sheetId="2" r:id="rId4"/>
    <sheet name="EEM #1 Lighting Upgrade  " sheetId="3" r:id="rId5"/>
    <sheet name="EEM #2  Occupancy Sensors" sheetId="6" r:id="rId6"/>
    <sheet name="EEM #3 Upgrade Controls" sheetId="9" r:id="rId7"/>
    <sheet name="EEM #4 Econimzer on UpperUnits" sheetId="18" r:id="rId8"/>
  </sheets>
  <externalReferences>
    <externalReference r:id="rId9"/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3" roundtripDataSignature="AMtx7mgXHsV+bcyvPEUekFEXUK6gzua0bg=="/>
    </ext>
  </extLst>
</workbook>
</file>

<file path=xl/calcChain.xml><?xml version="1.0" encoding="utf-8"?>
<calcChain xmlns="http://schemas.openxmlformats.org/spreadsheetml/2006/main">
  <c r="K19" i="2" l="1"/>
  <c r="L19" i="2" s="1"/>
  <c r="E11" i="9" l="1"/>
  <c r="K19" i="9"/>
  <c r="D5" i="3"/>
  <c r="D6" i="3"/>
  <c r="J25" i="2"/>
  <c r="J28" i="2"/>
  <c r="G28" i="2"/>
  <c r="G26" i="2"/>
  <c r="G25" i="2"/>
  <c r="E25" i="2"/>
  <c r="G24" i="2"/>
  <c r="E27" i="2"/>
  <c r="E28" i="2" s="1"/>
  <c r="E24" i="2"/>
  <c r="E6" i="9"/>
  <c r="E11" i="18"/>
  <c r="E6" i="18"/>
  <c r="K22" i="6"/>
  <c r="L35" i="6" s="1"/>
  <c r="F14" i="6"/>
  <c r="I10" i="6"/>
  <c r="F4" i="6"/>
  <c r="D27" i="3"/>
  <c r="D28" i="3" s="1"/>
  <c r="I19" i="19"/>
  <c r="G14" i="3"/>
  <c r="H32" i="3" s="1"/>
  <c r="H33" i="3" s="1"/>
  <c r="O56" i="3" s="1"/>
  <c r="F20" i="3"/>
  <c r="H20" i="3" s="1"/>
  <c r="D32" i="3" s="1"/>
  <c r="D33" i="3" s="1"/>
  <c r="F19" i="3"/>
  <c r="H19" i="3" s="1"/>
  <c r="F18" i="3"/>
  <c r="H18" i="3" s="1"/>
  <c r="F17" i="3"/>
  <c r="H17" i="3" s="1"/>
  <c r="F13" i="3"/>
  <c r="H13" i="3" s="1"/>
  <c r="F12" i="3"/>
  <c r="H12" i="3" s="1"/>
  <c r="F11" i="3"/>
  <c r="H11" i="3" s="1"/>
  <c r="F10" i="3"/>
  <c r="H10" i="3" s="1"/>
  <c r="D22" i="3"/>
  <c r="F12" i="6" s="1"/>
  <c r="F17" i="6" s="1"/>
  <c r="H40" i="19"/>
  <c r="H39" i="19"/>
  <c r="K37" i="19"/>
  <c r="J37" i="19"/>
  <c r="H37" i="19"/>
  <c r="G37" i="19"/>
  <c r="I25" i="19"/>
  <c r="L19" i="19"/>
  <c r="K19" i="19"/>
  <c r="O11" i="19" s="1"/>
  <c r="J19" i="19"/>
  <c r="H19" i="19"/>
  <c r="G19" i="19"/>
  <c r="I7" i="19"/>
  <c r="E16" i="20"/>
  <c r="E15" i="20"/>
  <c r="E14" i="20"/>
  <c r="E13" i="20"/>
  <c r="I13" i="20" s="1"/>
  <c r="E12" i="20"/>
  <c r="E11" i="20"/>
  <c r="I11" i="20" s="1"/>
  <c r="E10" i="20"/>
  <c r="I10" i="20" s="1"/>
  <c r="E9" i="20"/>
  <c r="E8" i="20"/>
  <c r="E7" i="20"/>
  <c r="I7" i="20" s="1"/>
  <c r="E6" i="20"/>
  <c r="I6" i="20" s="1"/>
  <c r="E5" i="20"/>
  <c r="C16" i="20"/>
  <c r="C15" i="20"/>
  <c r="C14" i="20"/>
  <c r="C13" i="20"/>
  <c r="C12" i="20"/>
  <c r="H12" i="20" s="1"/>
  <c r="C11" i="20"/>
  <c r="C10" i="20"/>
  <c r="H10" i="20" s="1"/>
  <c r="C9" i="20"/>
  <c r="C8" i="20"/>
  <c r="C7" i="20"/>
  <c r="C6" i="20"/>
  <c r="C5" i="20"/>
  <c r="S19" i="20"/>
  <c r="O21" i="20" s="1"/>
  <c r="R19" i="20"/>
  <c r="N21" i="20" s="1"/>
  <c r="T16" i="20"/>
  <c r="N20" i="20"/>
  <c r="P16" i="20"/>
  <c r="H16" i="20"/>
  <c r="I16" i="20"/>
  <c r="T15" i="20"/>
  <c r="P15" i="20"/>
  <c r="I15" i="20"/>
  <c r="H15" i="20"/>
  <c r="T14" i="20"/>
  <c r="P14" i="20"/>
  <c r="I14" i="20"/>
  <c r="H14" i="20"/>
  <c r="T13" i="20"/>
  <c r="P13" i="20"/>
  <c r="H13" i="20"/>
  <c r="T12" i="20"/>
  <c r="P12" i="20"/>
  <c r="I12" i="20"/>
  <c r="T11" i="20"/>
  <c r="P11" i="20"/>
  <c r="H11" i="20"/>
  <c r="T10" i="20"/>
  <c r="P10" i="20"/>
  <c r="T9" i="20"/>
  <c r="P9" i="20"/>
  <c r="I9" i="20"/>
  <c r="H9" i="20"/>
  <c r="Q19" i="20"/>
  <c r="M21" i="20" s="1"/>
  <c r="P8" i="20"/>
  <c r="I8" i="20"/>
  <c r="H8" i="20"/>
  <c r="T7" i="20"/>
  <c r="P7" i="20"/>
  <c r="H7" i="20"/>
  <c r="T6" i="20"/>
  <c r="P6" i="20"/>
  <c r="H6" i="20"/>
  <c r="T5" i="20"/>
  <c r="P5" i="20"/>
  <c r="O20" i="20"/>
  <c r="O22" i="20" s="1"/>
  <c r="I5" i="20"/>
  <c r="H5" i="20"/>
  <c r="F20" i="6" l="1"/>
  <c r="L27" i="6" s="1"/>
  <c r="F18" i="6"/>
  <c r="L26" i="6"/>
  <c r="N22" i="20"/>
  <c r="P18" i="20"/>
  <c r="P20" i="20" s="1"/>
  <c r="H18" i="20"/>
  <c r="H20" i="20" s="1"/>
  <c r="T8" i="20"/>
  <c r="T19" i="20" s="1"/>
  <c r="P21" i="20" s="1"/>
  <c r="M20" i="20"/>
  <c r="M22" i="20" s="1"/>
  <c r="P22" i="20" s="1"/>
  <c r="R25" i="20" s="1"/>
  <c r="R26" i="20" s="1"/>
  <c r="I40" i="6" l="1"/>
  <c r="K22" i="18"/>
  <c r="E10" i="18"/>
  <c r="K18" i="18" s="1"/>
  <c r="E10" i="9"/>
  <c r="K10" i="2"/>
  <c r="K9" i="2"/>
  <c r="O46" i="3"/>
  <c r="H14" i="3"/>
  <c r="D24" i="3" l="1"/>
  <c r="D30" i="3"/>
  <c r="D31" i="3" s="1"/>
  <c r="D25" i="3" l="1"/>
  <c r="D37" i="3"/>
  <c r="D40" i="3" s="1"/>
  <c r="O48" i="3" s="1"/>
  <c r="O45" i="3"/>
  <c r="O47" i="3" s="1"/>
  <c r="G9" i="2" s="1"/>
  <c r="F21" i="6"/>
  <c r="K19" i="18"/>
  <c r="K24" i="18" s="1"/>
  <c r="K26" i="18" s="1"/>
  <c r="D36" i="3"/>
  <c r="D39" i="3" l="1"/>
  <c r="O50" i="3" s="1"/>
  <c r="O49" i="3"/>
  <c r="H9" i="2" s="1"/>
  <c r="K11" i="2" l="1"/>
  <c r="K22" i="9"/>
  <c r="G11" i="2" l="1"/>
  <c r="L33" i="6" l="1"/>
  <c r="J24" i="2" l="1"/>
  <c r="L28" i="6" l="1"/>
  <c r="L29" i="6" s="1"/>
  <c r="G10" i="2" l="1"/>
  <c r="K24" i="9"/>
  <c r="K26" i="9" s="1"/>
  <c r="J11" i="2"/>
  <c r="L11" i="2" s="1"/>
  <c r="J10" i="2" l="1"/>
  <c r="L34" i="6"/>
  <c r="L36" i="6" s="1"/>
  <c r="K14" i="2" l="1"/>
  <c r="I14" i="2"/>
  <c r="L10" i="2"/>
  <c r="O55" i="3" l="1"/>
  <c r="J9" i="2" s="1"/>
  <c r="G14" i="2" l="1"/>
  <c r="D42" i="3" l="1"/>
  <c r="O57" i="3"/>
  <c r="L9" i="2" l="1"/>
  <c r="J14" i="2"/>
  <c r="L14" i="2" s="1"/>
</calcChain>
</file>

<file path=xl/sharedStrings.xml><?xml version="1.0" encoding="utf-8"?>
<sst xmlns="http://schemas.openxmlformats.org/spreadsheetml/2006/main" count="461" uniqueCount="231">
  <si>
    <t>Fixture Type</t>
  </si>
  <si>
    <t>Description</t>
  </si>
  <si>
    <t>Watt/Fixture</t>
  </si>
  <si>
    <t>Quantity</t>
  </si>
  <si>
    <t>Total Watt  Fixture Type</t>
  </si>
  <si>
    <t xml:space="preserve"> </t>
  </si>
  <si>
    <t>kWh</t>
  </si>
  <si>
    <t xml:space="preserve">kWh Savings = </t>
  </si>
  <si>
    <t>kW</t>
  </si>
  <si>
    <t xml:space="preserve">Demand Savings = </t>
  </si>
  <si>
    <t>EEM #1 Lighting Upgrade</t>
  </si>
  <si>
    <t>Elec Demand Cost Savings =</t>
  </si>
  <si>
    <t>Elec Cost Savings =</t>
  </si>
  <si>
    <t>Demand Cost =</t>
  </si>
  <si>
    <t>per kW</t>
  </si>
  <si>
    <t>per kWh</t>
  </si>
  <si>
    <t xml:space="preserve">Total Savings = </t>
  </si>
  <si>
    <t>EEM Summary Table</t>
  </si>
  <si>
    <t>Measure Number</t>
  </si>
  <si>
    <t>Measure Description</t>
  </si>
  <si>
    <t>Annual Energy and Cost Savings</t>
  </si>
  <si>
    <t>Measure Cost and Simple Payback</t>
  </si>
  <si>
    <t xml:space="preserve">Electricity Savings   </t>
  </si>
  <si>
    <t xml:space="preserve">Gas Fuel Savings  </t>
  </si>
  <si>
    <t>Total Cost Savings</t>
  </si>
  <si>
    <t>Measure Cost</t>
  </si>
  <si>
    <t xml:space="preserve">Simple Payback </t>
  </si>
  <si>
    <t>Therms</t>
  </si>
  <si>
    <t>Year</t>
  </si>
  <si>
    <t>EEM 1</t>
  </si>
  <si>
    <t>-</t>
  </si>
  <si>
    <t>EEM 2</t>
  </si>
  <si>
    <t>EEM 3</t>
  </si>
  <si>
    <t>kWh per year</t>
  </si>
  <si>
    <t>Occupancy Sensors</t>
  </si>
  <si>
    <t>Existing  Conditions</t>
  </si>
  <si>
    <t>`</t>
  </si>
  <si>
    <t>Annual Energy Usage &amp; Savings Estimate</t>
  </si>
  <si>
    <t>Baseline Electric Usage (kWh)</t>
  </si>
  <si>
    <t>Proposed Electric Usage (kWh)</t>
  </si>
  <si>
    <t>Electric Savings (kWh)</t>
  </si>
  <si>
    <t>Electric Cost Savings ($)</t>
  </si>
  <si>
    <t>Baseline Natural Gas Usage (Therms)</t>
  </si>
  <si>
    <t>Proposed Natural Gas Usage (Therms)</t>
  </si>
  <si>
    <t>Natural Gas Savings (Therms)</t>
  </si>
  <si>
    <t>Natural Gas Savings ($)</t>
  </si>
  <si>
    <t>Annual Energy Cost Savings</t>
  </si>
  <si>
    <t>Measure Cost &amp; Simple Payback</t>
  </si>
  <si>
    <t>Project Cost</t>
  </si>
  <si>
    <t>Simple Payback (Cost/Savings)</t>
  </si>
  <si>
    <t>2021 Totals</t>
  </si>
  <si>
    <t>Other Charges</t>
  </si>
  <si>
    <t>Elec Total Cost</t>
  </si>
  <si>
    <t>Elec Cost/kWh</t>
  </si>
  <si>
    <t>Watt Existing</t>
  </si>
  <si>
    <t xml:space="preserve">EEM #2   Estimated Savings </t>
  </si>
  <si>
    <t>EEM #2</t>
  </si>
  <si>
    <t>Occupancy Sensor in Spaces</t>
  </si>
  <si>
    <t>Calculations</t>
  </si>
  <si>
    <t xml:space="preserve">Elec Cost =  </t>
  </si>
  <si>
    <t xml:space="preserve">EEM #1   Estimated Savings </t>
  </si>
  <si>
    <t>Participant (Customer) Contact</t>
  </si>
  <si>
    <t>Contact Name</t>
  </si>
  <si>
    <t>Title</t>
  </si>
  <si>
    <t>Phone</t>
  </si>
  <si>
    <t>Email</t>
  </si>
  <si>
    <t>CBEA Contact</t>
  </si>
  <si>
    <t>Suzanne Marinello P.E.</t>
  </si>
  <si>
    <t>Lead Energy Analyst Lead Instructor</t>
  </si>
  <si>
    <t xml:space="preserve">Phone </t>
  </si>
  <si>
    <t>541-207-8205</t>
  </si>
  <si>
    <t>marinellos@lanecc.edu</t>
  </si>
  <si>
    <t>Jacob Ray Gradwohl</t>
  </si>
  <si>
    <t>Lead Student Intern</t>
  </si>
  <si>
    <t>gradwoja@oregonstate.edu</t>
  </si>
  <si>
    <t>Yuki Klein</t>
  </si>
  <si>
    <t>Student Intern</t>
  </si>
  <si>
    <t>kleiny@oregonstate.edu</t>
  </si>
  <si>
    <t>NG Cost/MBtu</t>
  </si>
  <si>
    <t>2021 Electrical Data</t>
  </si>
  <si>
    <t>Month</t>
  </si>
  <si>
    <t>kWh Charge</t>
  </si>
  <si>
    <t>kW Charge</t>
  </si>
  <si>
    <t>Fees</t>
  </si>
  <si>
    <t>May</t>
  </si>
  <si>
    <t>TOTALS</t>
  </si>
  <si>
    <t>Demand Savings (kW)</t>
  </si>
  <si>
    <t>Electric Demand Savings ($)</t>
  </si>
  <si>
    <t>December</t>
  </si>
  <si>
    <t>November</t>
  </si>
  <si>
    <t>October</t>
  </si>
  <si>
    <t>September</t>
  </si>
  <si>
    <t>August</t>
  </si>
  <si>
    <t>July</t>
  </si>
  <si>
    <t>June</t>
  </si>
  <si>
    <t>April</t>
  </si>
  <si>
    <t>March</t>
  </si>
  <si>
    <t>February</t>
  </si>
  <si>
    <t>January</t>
  </si>
  <si>
    <t>Jen Brown</t>
  </si>
  <si>
    <t>541-766-6110</t>
  </si>
  <si>
    <t>jennifer.brown@co.benton.or.us</t>
  </si>
  <si>
    <t>Sustainablilty Coordinator Benton County</t>
  </si>
  <si>
    <t>Paul Wallsinger</t>
  </si>
  <si>
    <t>Facilities Manager</t>
  </si>
  <si>
    <t>Paul.Walklsinger@Co.Benton.OR.US</t>
  </si>
  <si>
    <t>541-766-6821</t>
  </si>
  <si>
    <t>Use this Contact for DOE Report</t>
  </si>
  <si>
    <t>Use this contact for Client Report</t>
  </si>
  <si>
    <t>Insert this Table into Report "EEM Cost Estimates"</t>
  </si>
  <si>
    <t xml:space="preserve">Electrical Cost = </t>
  </si>
  <si>
    <t>Existing Conditions</t>
  </si>
  <si>
    <t>lamps per Fixtrure</t>
  </si>
  <si>
    <t>Wall/lamp</t>
  </si>
  <si>
    <t>Watt/fixture</t>
  </si>
  <si>
    <t>Qty</t>
  </si>
  <si>
    <t>Recommended Change</t>
  </si>
  <si>
    <t>Hours "ON"</t>
  </si>
  <si>
    <t>hrs</t>
  </si>
  <si>
    <t>Existing Energy =</t>
  </si>
  <si>
    <t>Existing Energy Cost =</t>
  </si>
  <si>
    <t xml:space="preserve">kWh </t>
  </si>
  <si>
    <t>Proposed Energy =</t>
  </si>
  <si>
    <t>Proposed Energy Cost =</t>
  </si>
  <si>
    <t>Existing Demand =</t>
  </si>
  <si>
    <t>Existing Demand Cost =</t>
  </si>
  <si>
    <t>Proposed Demand =</t>
  </si>
  <si>
    <t>Proposed Demand Cost =</t>
  </si>
  <si>
    <t>Energy (kWh) = Lighting Fixture Watt X No. of Fixture x "ON Hrs</t>
  </si>
  <si>
    <t>Demand (kW) = Lighting total Watt/1000</t>
  </si>
  <si>
    <t>Installation</t>
  </si>
  <si>
    <t xml:space="preserve">Estimated Cost/Fixture = </t>
  </si>
  <si>
    <t>Total Cost =</t>
  </si>
  <si>
    <t xml:space="preserve">Lighting Upgrade </t>
  </si>
  <si>
    <t>"ON" Time Existing=</t>
  </si>
  <si>
    <t xml:space="preserve">"ON" Time proposed = </t>
  </si>
  <si>
    <t xml:space="preserve">Estimated Cost/Sensor = </t>
  </si>
  <si>
    <t>Total Sensors =</t>
  </si>
  <si>
    <t>EEM #3</t>
  </si>
  <si>
    <t xml:space="preserve">EEM #3   Estimated Savings </t>
  </si>
  <si>
    <t xml:space="preserve">Baseline Energy Use = </t>
  </si>
  <si>
    <t xml:space="preserve">Proposed Energy Use = </t>
  </si>
  <si>
    <t xml:space="preserve">Energy Cost Savings = </t>
  </si>
  <si>
    <t>Energy Savings =</t>
  </si>
  <si>
    <t>EEM # 4</t>
  </si>
  <si>
    <t xml:space="preserve">EEM #4   Estimated Savings </t>
  </si>
  <si>
    <t>EEM 4</t>
  </si>
  <si>
    <t>Charge / kWh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</si>
  <si>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</si>
  <si>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</si>
  <si>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</si>
  <si>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</si>
  <si>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</si>
  <si>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</si>
  <si>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</si>
  <si>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</si>
  <si>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</si>
  <si>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</si>
  <si>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</si>
  <si>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2021 Natural Gas Data</t>
  </si>
  <si>
    <t>Cost</t>
  </si>
  <si>
    <t>Cost / Therm</t>
  </si>
  <si>
    <t>Total</t>
  </si>
  <si>
    <t>The tables on this sheet corresponds to the 3-year-average of energy usage for each month.</t>
  </si>
  <si>
    <t>Electricity</t>
  </si>
  <si>
    <t>Natural Gas</t>
  </si>
  <si>
    <t>Electrical Use (kWh)</t>
  </si>
  <si>
    <t>Natural Gas Use (Therms)</t>
  </si>
  <si>
    <t>kBtu</t>
  </si>
  <si>
    <t>3-year Ave.</t>
  </si>
  <si>
    <t>3-Year Ave.</t>
  </si>
  <si>
    <t>Annual Energy Usage</t>
  </si>
  <si>
    <t>Total kBtu</t>
  </si>
  <si>
    <t>Annual Elec Energy Usage (kWh)</t>
  </si>
  <si>
    <t>SF</t>
  </si>
  <si>
    <t>Annual NG Energy Usage (Therms)</t>
  </si>
  <si>
    <t>EUI</t>
  </si>
  <si>
    <t>Annual Elec Energy kBtu</t>
  </si>
  <si>
    <t>Median EUI</t>
  </si>
  <si>
    <t>Annual NG Energy Usage kBtu</t>
  </si>
  <si>
    <t>Total Annual Energy Usage (MMBtu)</t>
  </si>
  <si>
    <t xml:space="preserve">  </t>
  </si>
  <si>
    <t>Energy Performace of the Facility</t>
  </si>
  <si>
    <t>Conditioned Space Area (sqft)</t>
  </si>
  <si>
    <t>Total Energy Use (MMBtu per year, 3-year ave.)</t>
  </si>
  <si>
    <t>Energy Use Intensity, EUI (kBtu/sqft/year)</t>
  </si>
  <si>
    <t>*Median EUI for Facility Type in the US</t>
  </si>
  <si>
    <t xml:space="preserve">Elec Energy Use in kBtu = Annual kWh x 3414 Btu/kWh / 1000 </t>
  </si>
  <si>
    <t>NG Energy Use in Btu = Therms/100,000</t>
  </si>
  <si>
    <t>NG Energy Use in kBtu = Btu/1000</t>
  </si>
  <si>
    <t>! MMBtu = 1000 kBtu</t>
  </si>
  <si>
    <t>USE THESE TABLES FOR SECTION 5 ENERGY COST ANALYSIS TABLE  1 YEAR 2021 UTIITY DATA</t>
  </si>
  <si>
    <t>USE THIS TABLE FOR TABLE 2 HISTORICAL ENERGY USE</t>
  </si>
  <si>
    <t>UDATE CHARTS WITH CURRENT SITE DATA</t>
  </si>
  <si>
    <t xml:space="preserve">Proposed:  </t>
  </si>
  <si>
    <t>Total MMBtu =</t>
  </si>
  <si>
    <t xml:space="preserve">Unit Cost = </t>
  </si>
  <si>
    <t>$/MMBtu</t>
  </si>
  <si>
    <t>4' T8</t>
  </si>
  <si>
    <t>Total Watt</t>
  </si>
  <si>
    <t>8' T8</t>
  </si>
  <si>
    <t>4' T12</t>
  </si>
  <si>
    <t>8' T12</t>
  </si>
  <si>
    <t>8' LED</t>
  </si>
  <si>
    <t>4' LED</t>
  </si>
  <si>
    <t>Watt Proposed</t>
  </si>
  <si>
    <t>$20/tube</t>
  </si>
  <si>
    <t>$30/Fixture</t>
  </si>
  <si>
    <t>Offices do not have Occupancy Sensors</t>
  </si>
  <si>
    <t>General Offices</t>
  </si>
  <si>
    <t>Proposed reduces "ON" Time from 10 hrs/day 5 days per week to 8 hrs/day</t>
  </si>
  <si>
    <t xml:space="preserve">Baseline Energy </t>
  </si>
  <si>
    <t>Control Economizer on Upper Floor Units</t>
  </si>
  <si>
    <t>Proposed: Add Econimzer Control to Upper Level Units</t>
  </si>
  <si>
    <t>Baseline Energy</t>
  </si>
  <si>
    <t>Enhanced Control Energy</t>
  </si>
  <si>
    <t xml:space="preserve">DDC Control </t>
  </si>
  <si>
    <t xml:space="preserve">Assumes controls will provide </t>
  </si>
  <si>
    <t>closer scheduling of equipment</t>
  </si>
  <si>
    <t xml:space="preserve">New Contols </t>
  </si>
  <si>
    <t>Upgrade Controls</t>
  </si>
  <si>
    <t>Btu per year Therms</t>
  </si>
  <si>
    <t>MMbtu/yr Therms</t>
  </si>
  <si>
    <t>kW Elec Demand</t>
  </si>
  <si>
    <t>Elec Fees</t>
  </si>
  <si>
    <t>Demand Cost</t>
  </si>
  <si>
    <t>Economzer Control on Upper Level</t>
  </si>
  <si>
    <t>Total Count =</t>
  </si>
  <si>
    <t xml:space="preserve">Totals  </t>
  </si>
  <si>
    <t>5 Units @ $2000 each</t>
  </si>
  <si>
    <t>Capital Improvement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</si>
</sst>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&quot;$&quot;#,##0.00"/>
    <numFmt numFmtId="167" formatCode="0.000"/>
    <numFmt numFmtId="168" formatCode="_(&quot;$&quot;* #,##0.0_);_(&quot;$&quot;* \(#,##0.0\);_(&quot;$&quot;* &quot;-&quot;??_);_(@_)"/>
    <numFmt numFmtId="169" formatCode="&quot;$&quot;#,##0.000"/>
    <numFmt numFmtId="170" formatCode="#,##0.0"/>
  </numFmts>
  <fonts count="3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1"/>
      <color rgb="FF444444"/>
      <name val="Calibri"/>
      <family val="2"/>
      <charset val="1"/>
    </font>
    <font>
      <b/>
      <sz val="18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FCE5CD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DEDED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44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0" fillId="0" borderId="0"/>
    <xf numFmtId="0" fontId="24" fillId="0" borderId="0"/>
    <xf numFmtId="44" fontId="10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350">
    <xf numFmtId="0" fontId="0" fillId="0" borderId="0" xfId="0" applyFont="1" applyAlignment="1"/>
    <xf numFmtId="0" fontId="13" fillId="0" borderId="0" xfId="0" applyFont="1"/>
    <xf numFmtId="0" fontId="15" fillId="0" borderId="0" xfId="0" applyFont="1" applyAlignment="1">
      <alignment wrapText="1"/>
    </xf>
    <xf numFmtId="0" fontId="16" fillId="3" borderId="1" xfId="0" applyFont="1" applyFill="1" applyBorder="1" applyAlignment="1">
      <alignment horizontal="right"/>
    </xf>
    <xf numFmtId="0" fontId="16" fillId="3" borderId="4" xfId="0" applyFont="1" applyFill="1" applyBorder="1" applyAlignment="1">
      <alignment horizontal="right"/>
    </xf>
    <xf numFmtId="0" fontId="16" fillId="3" borderId="10" xfId="0" applyFont="1" applyFill="1" applyBorder="1" applyAlignment="1">
      <alignment horizontal="right"/>
    </xf>
    <xf numFmtId="164" fontId="16" fillId="3" borderId="11" xfId="1" applyNumberFormat="1" applyFont="1" applyFill="1" applyBorder="1" applyAlignment="1"/>
    <xf numFmtId="0" fontId="18" fillId="0" borderId="0" xfId="2" applyFont="1"/>
    <xf numFmtId="0" fontId="12" fillId="0" borderId="0" xfId="2"/>
    <xf numFmtId="0" fontId="17" fillId="4" borderId="20" xfId="2" applyFont="1" applyFill="1" applyBorder="1" applyAlignment="1">
      <alignment horizontal="center" wrapText="1"/>
    </xf>
    <xf numFmtId="0" fontId="17" fillId="4" borderId="21" xfId="2" applyFont="1" applyFill="1" applyBorder="1" applyAlignment="1">
      <alignment horizontal="center" wrapText="1"/>
    </xf>
    <xf numFmtId="0" fontId="17" fillId="4" borderId="22" xfId="2" applyFont="1" applyFill="1" applyBorder="1" applyAlignment="1">
      <alignment horizontal="center" vertical="center" wrapText="1"/>
    </xf>
    <xf numFmtId="0" fontId="17" fillId="4" borderId="21" xfId="2" applyFont="1" applyFill="1" applyBorder="1" applyAlignment="1">
      <alignment horizontal="center" vertical="center" wrapText="1"/>
    </xf>
    <xf numFmtId="0" fontId="17" fillId="4" borderId="23" xfId="2" applyFont="1" applyFill="1" applyBorder="1" applyAlignment="1">
      <alignment horizontal="center"/>
    </xf>
    <xf numFmtId="0" fontId="17" fillId="4" borderId="25" xfId="2" applyFont="1" applyFill="1" applyBorder="1" applyAlignment="1">
      <alignment horizontal="center"/>
    </xf>
    <xf numFmtId="0" fontId="17" fillId="4" borderId="26" xfId="2" applyFont="1" applyFill="1" applyBorder="1" applyAlignment="1">
      <alignment horizontal="center"/>
    </xf>
    <xf numFmtId="0" fontId="17" fillId="4" borderId="24" xfId="2" applyFont="1" applyFill="1" applyBorder="1" applyAlignment="1">
      <alignment wrapText="1"/>
    </xf>
    <xf numFmtId="0" fontId="17" fillId="4" borderId="23" xfId="2" applyFont="1" applyFill="1" applyBorder="1"/>
    <xf numFmtId="0" fontId="17" fillId="4" borderId="24" xfId="2" applyFont="1" applyFill="1" applyBorder="1" applyAlignment="1">
      <alignment horizontal="center"/>
    </xf>
    <xf numFmtId="0" fontId="19" fillId="0" borderId="27" xfId="2" applyFont="1" applyBorder="1" applyAlignment="1">
      <alignment horizontal="center"/>
    </xf>
    <xf numFmtId="0" fontId="19" fillId="0" borderId="28" xfId="2" applyFont="1" applyBorder="1"/>
    <xf numFmtId="1" fontId="19" fillId="0" borderId="27" xfId="2" applyNumberFormat="1" applyFont="1" applyBorder="1" applyAlignment="1">
      <alignment horizontal="center"/>
    </xf>
    <xf numFmtId="1" fontId="19" fillId="0" borderId="9" xfId="2" applyNumberFormat="1" applyFont="1" applyBorder="1" applyAlignment="1">
      <alignment horizontal="center"/>
    </xf>
    <xf numFmtId="0" fontId="19" fillId="0" borderId="29" xfId="2" applyFont="1" applyBorder="1" applyAlignment="1">
      <alignment horizontal="center"/>
    </xf>
    <xf numFmtId="164" fontId="19" fillId="0" borderId="28" xfId="3" applyNumberFormat="1" applyFont="1" applyBorder="1" applyAlignment="1">
      <alignment horizontal="center"/>
    </xf>
    <xf numFmtId="164" fontId="19" fillId="0" borderId="27" xfId="3" applyNumberFormat="1" applyFont="1" applyBorder="1" applyAlignment="1">
      <alignment horizontal="center"/>
    </xf>
    <xf numFmtId="1" fontId="19" fillId="0" borderId="28" xfId="2" applyNumberFormat="1" applyFont="1" applyBorder="1" applyAlignment="1">
      <alignment horizontal="center"/>
    </xf>
    <xf numFmtId="0" fontId="19" fillId="0" borderId="22" xfId="2" applyFont="1" applyBorder="1" applyAlignment="1">
      <alignment horizontal="center"/>
    </xf>
    <xf numFmtId="0" fontId="19" fillId="0" borderId="21" xfId="2" applyFont="1" applyBorder="1"/>
    <xf numFmtId="1" fontId="19" fillId="0" borderId="22" xfId="2" applyNumberFormat="1" applyFont="1" applyBorder="1" applyAlignment="1">
      <alignment horizontal="center"/>
    </xf>
    <xf numFmtId="1" fontId="19" fillId="0" borderId="30" xfId="2" applyNumberFormat="1" applyFont="1" applyBorder="1" applyAlignment="1">
      <alignment horizontal="center"/>
    </xf>
    <xf numFmtId="0" fontId="19" fillId="0" borderId="20" xfId="2" applyFont="1" applyBorder="1" applyAlignment="1">
      <alignment horizontal="center"/>
    </xf>
    <xf numFmtId="164" fontId="19" fillId="0" borderId="21" xfId="3" applyNumberFormat="1" applyFont="1" applyBorder="1" applyAlignment="1">
      <alignment horizontal="center"/>
    </xf>
    <xf numFmtId="164" fontId="19" fillId="0" borderId="22" xfId="3" applyNumberFormat="1" applyFont="1" applyBorder="1" applyAlignment="1">
      <alignment horizontal="center"/>
    </xf>
    <xf numFmtId="1" fontId="19" fillId="0" borderId="21" xfId="2" applyNumberFormat="1" applyFont="1" applyBorder="1" applyAlignment="1">
      <alignment horizontal="center"/>
    </xf>
    <xf numFmtId="0" fontId="19" fillId="4" borderId="2" xfId="2" applyFont="1" applyFill="1" applyBorder="1"/>
    <xf numFmtId="0" fontId="19" fillId="4" borderId="31" xfId="2" applyFont="1" applyFill="1" applyBorder="1"/>
    <xf numFmtId="0" fontId="19" fillId="4" borderId="13" xfId="2" applyFont="1" applyFill="1" applyBorder="1"/>
    <xf numFmtId="0" fontId="19" fillId="4" borderId="32" xfId="2" applyFont="1" applyFill="1" applyBorder="1"/>
    <xf numFmtId="1" fontId="19" fillId="4" borderId="5" xfId="2" applyNumberFormat="1" applyFont="1" applyFill="1" applyBorder="1" applyAlignment="1">
      <alignment horizontal="center" vertical="center"/>
    </xf>
    <xf numFmtId="1" fontId="19" fillId="4" borderId="33" xfId="2" applyNumberFormat="1" applyFont="1" applyFill="1" applyBorder="1" applyAlignment="1">
      <alignment horizontal="center" vertical="center"/>
    </xf>
    <xf numFmtId="164" fontId="19" fillId="4" borderId="34" xfId="2" applyNumberFormat="1" applyFont="1" applyFill="1" applyBorder="1"/>
    <xf numFmtId="164" fontId="19" fillId="4" borderId="35" xfId="2" applyNumberFormat="1" applyFont="1" applyFill="1" applyBorder="1"/>
    <xf numFmtId="1" fontId="19" fillId="4" borderId="34" xfId="2" applyNumberFormat="1" applyFont="1" applyFill="1" applyBorder="1" applyAlignment="1">
      <alignment horizontal="center"/>
    </xf>
    <xf numFmtId="9" fontId="0" fillId="0" borderId="0" xfId="4" applyFont="1"/>
    <xf numFmtId="0" fontId="0" fillId="0" borderId="0" xfId="0"/>
    <xf numFmtId="1" fontId="0" fillId="0" borderId="0" xfId="0" applyNumberFormat="1"/>
    <xf numFmtId="0" fontId="0" fillId="0" borderId="0" xfId="0" applyAlignment="1">
      <alignment horizontal="right"/>
    </xf>
    <xf numFmtId="1" fontId="16" fillId="3" borderId="2" xfId="0" applyNumberFormat="1" applyFont="1" applyFill="1" applyBorder="1"/>
    <xf numFmtId="0" fontId="16" fillId="3" borderId="3" xfId="0" applyFont="1" applyFill="1" applyBorder="1"/>
    <xf numFmtId="0" fontId="0" fillId="0" borderId="0" xfId="0" applyAlignment="1">
      <alignment horizontal="left"/>
    </xf>
    <xf numFmtId="1" fontId="16" fillId="3" borderId="5" xfId="0" applyNumberFormat="1" applyFont="1" applyFill="1" applyBorder="1"/>
    <xf numFmtId="0" fontId="16" fillId="3" borderId="6" xfId="0" applyFont="1" applyFill="1" applyBorder="1"/>
    <xf numFmtId="0" fontId="16" fillId="3" borderId="10" xfId="0" applyFont="1" applyFill="1" applyBorder="1"/>
    <xf numFmtId="0" fontId="16" fillId="3" borderId="11" xfId="0" applyFont="1" applyFill="1" applyBorder="1"/>
    <xf numFmtId="164" fontId="16" fillId="3" borderId="6" xfId="0" applyNumberFormat="1" applyFont="1" applyFill="1" applyBorder="1"/>
    <xf numFmtId="0" fontId="16" fillId="3" borderId="0" xfId="0" applyFont="1" applyFill="1" applyAlignment="1">
      <alignment horizontal="right"/>
    </xf>
    <xf numFmtId="0" fontId="11" fillId="0" borderId="0" xfId="5"/>
    <xf numFmtId="0" fontId="16" fillId="0" borderId="0" xfId="5" applyFont="1"/>
    <xf numFmtId="0" fontId="11" fillId="0" borderId="0" xfId="5" applyAlignment="1">
      <alignment wrapText="1"/>
    </xf>
    <xf numFmtId="1" fontId="11" fillId="0" borderId="0" xfId="5" applyNumberFormat="1"/>
    <xf numFmtId="164" fontId="0" fillId="0" borderId="0" xfId="6" applyNumberFormat="1" applyFont="1"/>
    <xf numFmtId="0" fontId="11" fillId="0" borderId="1" xfId="5" applyBorder="1"/>
    <xf numFmtId="0" fontId="11" fillId="0" borderId="2" xfId="5" applyBorder="1"/>
    <xf numFmtId="1" fontId="11" fillId="0" borderId="3" xfId="5" applyNumberFormat="1" applyBorder="1"/>
    <xf numFmtId="0" fontId="11" fillId="0" borderId="10" xfId="5" applyBorder="1"/>
    <xf numFmtId="1" fontId="11" fillId="0" borderId="11" xfId="5" applyNumberFormat="1" applyBorder="1"/>
    <xf numFmtId="0" fontId="11" fillId="0" borderId="38" xfId="5" applyBorder="1"/>
    <xf numFmtId="0" fontId="11" fillId="0" borderId="39" xfId="5" applyBorder="1"/>
    <xf numFmtId="164" fontId="0" fillId="0" borderId="40" xfId="6" applyNumberFormat="1" applyFont="1" applyBorder="1"/>
    <xf numFmtId="0" fontId="11" fillId="0" borderId="41" xfId="5" applyBorder="1"/>
    <xf numFmtId="0" fontId="11" fillId="0" borderId="42" xfId="5" applyBorder="1"/>
    <xf numFmtId="1" fontId="11" fillId="0" borderId="43" xfId="5" applyNumberFormat="1" applyBorder="1"/>
    <xf numFmtId="0" fontId="11" fillId="0" borderId="4" xfId="5" applyBorder="1"/>
    <xf numFmtId="0" fontId="11" fillId="0" borderId="5" xfId="5" applyBorder="1"/>
    <xf numFmtId="164" fontId="0" fillId="0" borderId="6" xfId="6" applyNumberFormat="1" applyFont="1" applyBorder="1"/>
    <xf numFmtId="164" fontId="11" fillId="0" borderId="11" xfId="5" applyNumberFormat="1" applyBorder="1"/>
    <xf numFmtId="164" fontId="11" fillId="0" borderId="3" xfId="5" applyNumberFormat="1" applyBorder="1"/>
    <xf numFmtId="165" fontId="11" fillId="0" borderId="6" xfId="5" applyNumberFormat="1" applyBorder="1"/>
    <xf numFmtId="0" fontId="11" fillId="0" borderId="0" xfId="2" applyFont="1"/>
    <xf numFmtId="164" fontId="12" fillId="0" borderId="0" xfId="1" applyNumberFormat="1" applyFont="1"/>
    <xf numFmtId="44" fontId="12" fillId="0" borderId="0" xfId="2" applyNumberFormat="1"/>
    <xf numFmtId="164" fontId="12" fillId="0" borderId="0" xfId="2" applyNumberFormat="1"/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164" fontId="11" fillId="0" borderId="0" xfId="5" applyNumberFormat="1"/>
    <xf numFmtId="0" fontId="18" fillId="2" borderId="36" xfId="5" applyFont="1" applyFill="1" applyBorder="1"/>
    <xf numFmtId="0" fontId="18" fillId="2" borderId="37" xfId="5" applyFont="1" applyFill="1" applyBorder="1"/>
    <xf numFmtId="0" fontId="18" fillId="2" borderId="44" xfId="5" applyFont="1" applyFill="1" applyBorder="1"/>
    <xf numFmtId="0" fontId="20" fillId="2" borderId="44" xfId="0" applyFont="1" applyFill="1" applyBorder="1"/>
    <xf numFmtId="0" fontId="18" fillId="2" borderId="36" xfId="0" applyFont="1" applyFill="1" applyBorder="1"/>
    <xf numFmtId="164" fontId="11" fillId="0" borderId="6" xfId="6" applyNumberFormat="1" applyFont="1" applyBorder="1"/>
    <xf numFmtId="0" fontId="21" fillId="0" borderId="0" xfId="5" applyFont="1"/>
    <xf numFmtId="0" fontId="23" fillId="6" borderId="10" xfId="5" applyFont="1" applyFill="1" applyBorder="1" applyAlignment="1">
      <alignment vertical="center"/>
    </xf>
    <xf numFmtId="0" fontId="23" fillId="6" borderId="0" xfId="5" applyFont="1" applyFill="1" applyAlignment="1">
      <alignment vertical="center"/>
    </xf>
    <xf numFmtId="0" fontId="23" fillId="6" borderId="11" xfId="5" applyFont="1" applyFill="1" applyBorder="1" applyAlignment="1">
      <alignment vertical="center"/>
    </xf>
    <xf numFmtId="0" fontId="16" fillId="0" borderId="27" xfId="5" applyFont="1" applyBorder="1" applyAlignment="1">
      <alignment vertical="center"/>
    </xf>
    <xf numFmtId="0" fontId="11" fillId="0" borderId="7" xfId="5" applyBorder="1" applyAlignment="1">
      <alignment vertical="center"/>
    </xf>
    <xf numFmtId="0" fontId="11" fillId="0" borderId="8" xfId="5" applyBorder="1" applyAlignment="1">
      <alignment vertical="center"/>
    </xf>
    <xf numFmtId="0" fontId="11" fillId="0" borderId="45" xfId="5" applyBorder="1" applyAlignment="1">
      <alignment vertical="center"/>
    </xf>
    <xf numFmtId="0" fontId="22" fillId="0" borderId="7" xfId="8" applyBorder="1" applyAlignment="1">
      <alignment vertical="center"/>
    </xf>
    <xf numFmtId="0" fontId="23" fillId="6" borderId="10" xfId="5" applyFont="1" applyFill="1" applyBorder="1"/>
    <xf numFmtId="0" fontId="23" fillId="6" borderId="0" xfId="5" applyFont="1" applyFill="1"/>
    <xf numFmtId="0" fontId="23" fillId="6" borderId="11" xfId="5" applyFont="1" applyFill="1" applyBorder="1"/>
    <xf numFmtId="0" fontId="11" fillId="0" borderId="27" xfId="5" applyBorder="1"/>
    <xf numFmtId="0" fontId="11" fillId="0" borderId="7" xfId="5" applyBorder="1"/>
    <xf numFmtId="0" fontId="11" fillId="0" borderId="8" xfId="5" applyBorder="1"/>
    <xf numFmtId="0" fontId="11" fillId="0" borderId="45" xfId="5" applyBorder="1"/>
    <xf numFmtId="0" fontId="22" fillId="0" borderId="7" xfId="8" applyBorder="1"/>
    <xf numFmtId="165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1" fontId="9" fillId="0" borderId="43" xfId="5" applyNumberFormat="1" applyFont="1" applyBorder="1"/>
    <xf numFmtId="1" fontId="9" fillId="0" borderId="11" xfId="5" applyNumberFormat="1" applyFont="1" applyBorder="1"/>
    <xf numFmtId="3" fontId="12" fillId="0" borderId="0" xfId="2" applyNumberFormat="1"/>
    <xf numFmtId="0" fontId="8" fillId="0" borderId="0" xfId="2" applyFont="1" applyAlignment="1">
      <alignment vertical="top" wrapText="1"/>
    </xf>
    <xf numFmtId="0" fontId="7" fillId="0" borderId="10" xfId="5" applyFont="1" applyBorder="1"/>
    <xf numFmtId="0" fontId="7" fillId="0" borderId="38" xfId="5" applyFont="1" applyBorder="1"/>
    <xf numFmtId="164" fontId="0" fillId="0" borderId="11" xfId="6" applyNumberFormat="1" applyFont="1" applyBorder="1"/>
    <xf numFmtId="0" fontId="17" fillId="0" borderId="0" xfId="0" applyFont="1" applyAlignment="1">
      <alignment horizontal="left" vertical="top" wrapText="1"/>
    </xf>
    <xf numFmtId="0" fontId="6" fillId="0" borderId="0" xfId="0" applyFont="1"/>
    <xf numFmtId="166" fontId="6" fillId="0" borderId="0" xfId="0" applyNumberFormat="1" applyFont="1"/>
    <xf numFmtId="0" fontId="16" fillId="0" borderId="0" xfId="0" applyFont="1" applyAlignment="1">
      <alignment wrapText="1"/>
    </xf>
    <xf numFmtId="8" fontId="6" fillId="0" borderId="0" xfId="0" applyNumberFormat="1" applyFont="1"/>
    <xf numFmtId="0" fontId="6" fillId="0" borderId="0" xfId="0" applyFont="1" applyAlignment="1">
      <alignment horizontal="left" vertical="top" wrapText="1"/>
    </xf>
    <xf numFmtId="166" fontId="17" fillId="0" borderId="0" xfId="0" applyNumberFormat="1" applyFont="1"/>
    <xf numFmtId="0" fontId="13" fillId="0" borderId="0" xfId="0" applyFont="1" applyAlignment="1">
      <alignment wrapText="1"/>
    </xf>
    <xf numFmtId="0" fontId="28" fillId="0" borderId="0" xfId="12"/>
    <xf numFmtId="0" fontId="24" fillId="0" borderId="0" xfId="12" applyFont="1"/>
    <xf numFmtId="0" fontId="5" fillId="0" borderId="7" xfId="5" applyFont="1" applyBorder="1" applyAlignment="1">
      <alignment vertical="center"/>
    </xf>
    <xf numFmtId="0" fontId="5" fillId="0" borderId="0" xfId="5" applyFont="1"/>
    <xf numFmtId="0" fontId="29" fillId="0" borderId="0" xfId="5" applyFont="1"/>
    <xf numFmtId="0" fontId="30" fillId="0" borderId="0" xfId="5" applyFont="1"/>
    <xf numFmtId="0" fontId="5" fillId="0" borderId="0" xfId="2" applyFont="1"/>
    <xf numFmtId="0" fontId="30" fillId="0" borderId="0" xfId="2" applyFont="1"/>
    <xf numFmtId="0" fontId="14" fillId="0" borderId="0" xfId="0" applyFont="1" applyBorder="1" applyAlignment="1">
      <alignment horizontal="center"/>
    </xf>
    <xf numFmtId="0" fontId="16" fillId="0" borderId="0" xfId="0" applyFont="1" applyBorder="1" applyAlignment="1">
      <alignment wrapText="1"/>
    </xf>
    <xf numFmtId="0" fontId="16" fillId="0" borderId="0" xfId="0" applyFont="1" applyBorder="1"/>
    <xf numFmtId="0" fontId="0" fillId="0" borderId="0" xfId="0" applyBorder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/>
    <xf numFmtId="0" fontId="15" fillId="0" borderId="0" xfId="0" applyFont="1" applyAlignment="1">
      <alignment horizontal="right" wrapText="1"/>
    </xf>
    <xf numFmtId="164" fontId="13" fillId="0" borderId="0" xfId="1" applyNumberFormat="1" applyFont="1"/>
    <xf numFmtId="0" fontId="5" fillId="0" borderId="0" xfId="0" applyFont="1" applyAlignment="1">
      <alignment horizontal="right"/>
    </xf>
    <xf numFmtId="164" fontId="0" fillId="0" borderId="0" xfId="1" applyNumberFormat="1" applyFont="1"/>
    <xf numFmtId="44" fontId="0" fillId="0" borderId="0" xfId="1" applyFont="1" applyBorder="1"/>
    <xf numFmtId="0" fontId="14" fillId="0" borderId="0" xfId="0" applyFont="1" applyAlignment="1">
      <alignment wrapText="1"/>
    </xf>
    <xf numFmtId="0" fontId="5" fillId="0" borderId="0" xfId="5" applyFont="1" applyFill="1" applyBorder="1"/>
    <xf numFmtId="168" fontId="11" fillId="0" borderId="0" xfId="1" applyNumberFormat="1" applyFont="1"/>
    <xf numFmtId="164" fontId="11" fillId="0" borderId="0" xfId="1" applyNumberFormat="1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wrapText="1"/>
    </xf>
    <xf numFmtId="0" fontId="28" fillId="0" borderId="0" xfId="12" applyAlignment="1">
      <alignment horizontal="center" vertical="center"/>
    </xf>
    <xf numFmtId="0" fontId="28" fillId="0" borderId="0" xfId="12" applyAlignment="1">
      <alignment horizontal="center"/>
    </xf>
    <xf numFmtId="0" fontId="25" fillId="3" borderId="19" xfId="12" applyFont="1" applyFill="1" applyBorder="1" applyAlignment="1">
      <alignment horizontal="center" vertical="center"/>
    </xf>
    <xf numFmtId="0" fontId="16" fillId="3" borderId="8" xfId="12" applyFont="1" applyFill="1" applyBorder="1" applyAlignment="1">
      <alignment horizontal="center"/>
    </xf>
    <xf numFmtId="0" fontId="16" fillId="3" borderId="45" xfId="12" applyFont="1" applyFill="1" applyBorder="1" applyAlignment="1">
      <alignment horizontal="center"/>
    </xf>
    <xf numFmtId="0" fontId="26" fillId="0" borderId="27" xfId="12" applyFont="1" applyBorder="1" applyAlignment="1">
      <alignment horizontal="center" vertical="center"/>
    </xf>
    <xf numFmtId="3" fontId="4" fillId="0" borderId="29" xfId="12" applyNumberFormat="1" applyFont="1" applyBorder="1" applyAlignment="1">
      <alignment horizontal="center"/>
    </xf>
    <xf numFmtId="166" fontId="4" fillId="0" borderId="29" xfId="12" applyNumberFormat="1" applyFont="1" applyBorder="1" applyAlignment="1">
      <alignment horizontal="center"/>
    </xf>
    <xf numFmtId="166" fontId="4" fillId="0" borderId="28" xfId="12" applyNumberFormat="1" applyFont="1" applyBorder="1" applyAlignment="1">
      <alignment horizontal="center"/>
    </xf>
    <xf numFmtId="169" fontId="28" fillId="0" borderId="0" xfId="12" applyNumberFormat="1"/>
    <xf numFmtId="0" fontId="27" fillId="3" borderId="47" xfId="12" applyFont="1" applyFill="1" applyBorder="1" applyAlignment="1">
      <alignment horizontal="center"/>
    </xf>
    <xf numFmtId="3" fontId="28" fillId="3" borderId="46" xfId="12" applyNumberFormat="1" applyFill="1" applyBorder="1" applyAlignment="1">
      <alignment horizontal="center"/>
    </xf>
    <xf numFmtId="166" fontId="28" fillId="3" borderId="46" xfId="12" applyNumberFormat="1" applyFill="1" applyBorder="1" applyAlignment="1">
      <alignment horizontal="center"/>
    </xf>
    <xf numFmtId="166" fontId="28" fillId="3" borderId="48" xfId="12" applyNumberFormat="1" applyFill="1" applyBorder="1" applyAlignment="1">
      <alignment horizontal="center"/>
    </xf>
    <xf numFmtId="0" fontId="25" fillId="3" borderId="49" xfId="12" applyFont="1" applyFill="1" applyBorder="1" applyAlignment="1">
      <alignment horizontal="center" vertical="center"/>
    </xf>
    <xf numFmtId="166" fontId="32" fillId="0" borderId="29" xfId="12" applyNumberFormat="1" applyFont="1" applyBorder="1" applyAlignment="1">
      <alignment horizontal="center"/>
    </xf>
    <xf numFmtId="169" fontId="32" fillId="0" borderId="29" xfId="12" applyNumberFormat="1" applyFont="1" applyBorder="1" applyAlignment="1">
      <alignment horizontal="center"/>
    </xf>
    <xf numFmtId="166" fontId="32" fillId="8" borderId="28" xfId="12" applyNumberFormat="1" applyFont="1" applyFill="1" applyBorder="1" applyAlignment="1">
      <alignment horizontal="center"/>
    </xf>
    <xf numFmtId="170" fontId="28" fillId="3" borderId="46" xfId="12" applyNumberFormat="1" applyFill="1" applyBorder="1" applyAlignment="1">
      <alignment horizontal="center" vertical="center"/>
    </xf>
    <xf numFmtId="0" fontId="32" fillId="0" borderId="50" xfId="12" applyFont="1" applyBorder="1"/>
    <xf numFmtId="0" fontId="32" fillId="0" borderId="50" xfId="12" applyFont="1" applyBorder="1" applyAlignment="1">
      <alignment horizontal="center"/>
    </xf>
    <xf numFmtId="0" fontId="32" fillId="0" borderId="0" xfId="12" applyFont="1" applyAlignment="1">
      <alignment horizontal="center"/>
    </xf>
    <xf numFmtId="0" fontId="35" fillId="6" borderId="53" xfId="12" applyFont="1" applyFill="1" applyBorder="1" applyAlignment="1">
      <alignment horizontal="center" vertical="center"/>
    </xf>
    <xf numFmtId="0" fontId="35" fillId="6" borderId="54" xfId="12" applyFont="1" applyFill="1" applyBorder="1" applyAlignment="1">
      <alignment horizontal="center" vertical="center"/>
    </xf>
    <xf numFmtId="0" fontId="35" fillId="6" borderId="55" xfId="12" applyFont="1" applyFill="1" applyBorder="1" applyAlignment="1">
      <alignment horizontal="center" vertical="center"/>
    </xf>
    <xf numFmtId="0" fontId="35" fillId="6" borderId="56" xfId="12" applyFont="1" applyFill="1" applyBorder="1" applyAlignment="1">
      <alignment horizontal="center" vertical="center"/>
    </xf>
    <xf numFmtId="0" fontId="35" fillId="6" borderId="57" xfId="12" applyFont="1" applyFill="1" applyBorder="1" applyAlignment="1">
      <alignment horizontal="center" vertical="center"/>
    </xf>
    <xf numFmtId="0" fontId="35" fillId="6" borderId="58" xfId="12" applyFont="1" applyFill="1" applyBorder="1" applyAlignment="1">
      <alignment horizontal="center" vertical="center"/>
    </xf>
    <xf numFmtId="0" fontId="32" fillId="10" borderId="59" xfId="12" applyFont="1" applyFill="1" applyBorder="1" applyAlignment="1">
      <alignment horizontal="center" vertical="center"/>
    </xf>
    <xf numFmtId="0" fontId="32" fillId="10" borderId="60" xfId="12" applyFont="1" applyFill="1" applyBorder="1" applyAlignment="1">
      <alignment horizontal="center" vertical="center"/>
    </xf>
    <xf numFmtId="0" fontId="32" fillId="10" borderId="61" xfId="12" applyFont="1" applyFill="1" applyBorder="1" applyAlignment="1">
      <alignment horizontal="center" vertical="center"/>
    </xf>
    <xf numFmtId="0" fontId="32" fillId="10" borderId="51" xfId="12" applyFont="1" applyFill="1" applyBorder="1" applyAlignment="1">
      <alignment horizontal="center" vertical="center"/>
    </xf>
    <xf numFmtId="0" fontId="32" fillId="10" borderId="62" xfId="12" applyFont="1" applyFill="1" applyBorder="1" applyAlignment="1">
      <alignment horizontal="center" vertical="center"/>
    </xf>
    <xf numFmtId="1" fontId="32" fillId="0" borderId="50" xfId="12" applyNumberFormat="1" applyFont="1" applyBorder="1"/>
    <xf numFmtId="2" fontId="32" fillId="0" borderId="50" xfId="12" applyNumberFormat="1" applyFont="1" applyBorder="1"/>
    <xf numFmtId="165" fontId="32" fillId="0" borderId="50" xfId="12" applyNumberFormat="1" applyFont="1" applyBorder="1"/>
    <xf numFmtId="0" fontId="32" fillId="0" borderId="63" xfId="12" applyFont="1" applyBorder="1" applyAlignment="1">
      <alignment horizontal="center" vertical="center"/>
    </xf>
    <xf numFmtId="3" fontId="32" fillId="0" borderId="50" xfId="12" applyNumberFormat="1" applyFont="1" applyBorder="1" applyAlignment="1">
      <alignment horizontal="center"/>
    </xf>
    <xf numFmtId="0" fontId="32" fillId="11" borderId="64" xfId="12" applyFont="1" applyFill="1" applyBorder="1" applyAlignment="1">
      <alignment horizontal="center" vertical="center"/>
    </xf>
    <xf numFmtId="170" fontId="32" fillId="0" borderId="51" xfId="12" applyNumberFormat="1" applyFont="1" applyBorder="1" applyAlignment="1">
      <alignment horizontal="center"/>
    </xf>
    <xf numFmtId="170" fontId="32" fillId="0" borderId="50" xfId="12" applyNumberFormat="1" applyFont="1" applyBorder="1" applyAlignment="1">
      <alignment horizontal="center"/>
    </xf>
    <xf numFmtId="170" fontId="32" fillId="11" borderId="65" xfId="12" applyNumberFormat="1" applyFont="1" applyFill="1" applyBorder="1" applyAlignment="1">
      <alignment horizontal="center" vertical="center"/>
    </xf>
    <xf numFmtId="0" fontId="32" fillId="0" borderId="66" xfId="12" applyFont="1" applyBorder="1" applyAlignment="1">
      <alignment horizontal="center" vertical="center"/>
    </xf>
    <xf numFmtId="170" fontId="32" fillId="11" borderId="67" xfId="12" applyNumberFormat="1" applyFont="1" applyFill="1" applyBorder="1" applyAlignment="1">
      <alignment horizontal="center" vertical="center"/>
    </xf>
    <xf numFmtId="0" fontId="28" fillId="0" borderId="50" xfId="12" applyBorder="1" applyAlignment="1">
      <alignment horizontal="center"/>
    </xf>
    <xf numFmtId="3" fontId="32" fillId="0" borderId="68" xfId="12" applyNumberFormat="1" applyFont="1" applyBorder="1" applyAlignment="1">
      <alignment horizontal="center"/>
    </xf>
    <xf numFmtId="3" fontId="32" fillId="0" borderId="52" xfId="12" applyNumberFormat="1" applyFont="1" applyBorder="1" applyAlignment="1">
      <alignment horizontal="center"/>
    </xf>
    <xf numFmtId="0" fontId="32" fillId="0" borderId="68" xfId="12" applyFont="1" applyBorder="1"/>
    <xf numFmtId="1" fontId="32" fillId="0" borderId="68" xfId="12" applyNumberFormat="1" applyFont="1" applyBorder="1"/>
    <xf numFmtId="0" fontId="32" fillId="0" borderId="69" xfId="12" applyFont="1" applyBorder="1" applyAlignment="1">
      <alignment horizontal="center" vertical="center"/>
    </xf>
    <xf numFmtId="3" fontId="32" fillId="0" borderId="60" xfId="12" applyNumberFormat="1" applyFont="1" applyBorder="1" applyAlignment="1">
      <alignment horizontal="center"/>
    </xf>
    <xf numFmtId="3" fontId="32" fillId="0" borderId="0" xfId="12" applyNumberFormat="1" applyFont="1" applyAlignment="1">
      <alignment horizontal="center"/>
    </xf>
    <xf numFmtId="0" fontId="32" fillId="11" borderId="68" xfId="12" applyFont="1" applyFill="1" applyBorder="1" applyAlignment="1">
      <alignment horizontal="center" vertical="center"/>
    </xf>
    <xf numFmtId="1" fontId="32" fillId="0" borderId="61" xfId="12" applyNumberFormat="1" applyFont="1" applyBorder="1" applyAlignment="1">
      <alignment horizontal="center"/>
    </xf>
    <xf numFmtId="170" fontId="32" fillId="0" borderId="60" xfId="12" applyNumberFormat="1" applyFont="1" applyBorder="1" applyAlignment="1">
      <alignment horizontal="center"/>
    </xf>
    <xf numFmtId="170" fontId="32" fillId="0" borderId="68" xfId="12" applyNumberFormat="1" applyFont="1" applyBorder="1" applyAlignment="1">
      <alignment horizontal="center"/>
    </xf>
    <xf numFmtId="170" fontId="32" fillId="11" borderId="70" xfId="12" applyNumberFormat="1" applyFont="1" applyFill="1" applyBorder="1" applyAlignment="1">
      <alignment horizontal="center" vertical="center"/>
    </xf>
    <xf numFmtId="0" fontId="32" fillId="0" borderId="71" xfId="12" applyFont="1" applyBorder="1"/>
    <xf numFmtId="0" fontId="32" fillId="0" borderId="72" xfId="12" applyFont="1" applyBorder="1"/>
    <xf numFmtId="0" fontId="28" fillId="12" borderId="69" xfId="12" applyFill="1" applyBorder="1"/>
    <xf numFmtId="0" fontId="28" fillId="12" borderId="59" xfId="12" applyFill="1" applyBorder="1"/>
    <xf numFmtId="0" fontId="28" fillId="12" borderId="64" xfId="12" applyFill="1" applyBorder="1"/>
    <xf numFmtId="0" fontId="28" fillId="12" borderId="70" xfId="12" applyFill="1" applyBorder="1"/>
    <xf numFmtId="0" fontId="32" fillId="0" borderId="73" xfId="12" applyFont="1" applyBorder="1"/>
    <xf numFmtId="1" fontId="32" fillId="0" borderId="73" xfId="12" applyNumberFormat="1" applyFont="1" applyBorder="1"/>
    <xf numFmtId="0" fontId="24" fillId="0" borderId="74" xfId="12" applyFont="1" applyBorder="1"/>
    <xf numFmtId="3" fontId="24" fillId="13" borderId="50" xfId="12" applyNumberFormat="1" applyFont="1" applyFill="1" applyBorder="1" applyAlignment="1">
      <alignment horizontal="center"/>
    </xf>
    <xf numFmtId="3" fontId="28" fillId="11" borderId="50" xfId="12" applyNumberFormat="1" applyFill="1" applyBorder="1" applyAlignment="1">
      <alignment horizontal="center"/>
    </xf>
    <xf numFmtId="170" fontId="36" fillId="13" borderId="75" xfId="12" quotePrefix="1" applyNumberFormat="1" applyFont="1" applyFill="1" applyBorder="1"/>
    <xf numFmtId="170" fontId="24" fillId="11" borderId="62" xfId="12" applyNumberFormat="1" applyFont="1" applyFill="1" applyBorder="1"/>
    <xf numFmtId="0" fontId="24" fillId="0" borderId="76" xfId="12" applyFont="1" applyBorder="1"/>
    <xf numFmtId="0" fontId="28" fillId="13" borderId="52" xfId="12" applyFill="1" applyBorder="1" applyAlignment="1">
      <alignment horizontal="center"/>
    </xf>
    <xf numFmtId="0" fontId="28" fillId="13" borderId="50" xfId="12" applyFill="1" applyBorder="1" applyAlignment="1">
      <alignment horizontal="center"/>
    </xf>
    <xf numFmtId="0" fontId="28" fillId="11" borderId="50" xfId="12" applyFill="1" applyBorder="1" applyAlignment="1">
      <alignment horizontal="center"/>
    </xf>
    <xf numFmtId="3" fontId="28" fillId="13" borderId="50" xfId="12" applyNumberFormat="1" applyFill="1" applyBorder="1" applyAlignment="1">
      <alignment horizontal="center"/>
    </xf>
    <xf numFmtId="3" fontId="36" fillId="13" borderId="75" xfId="12" quotePrefix="1" applyNumberFormat="1" applyFont="1" applyFill="1" applyBorder="1"/>
    <xf numFmtId="3" fontId="28" fillId="11" borderId="62" xfId="12" applyNumberFormat="1" applyFill="1" applyBorder="1"/>
    <xf numFmtId="0" fontId="24" fillId="0" borderId="58" xfId="12" applyFont="1" applyBorder="1"/>
    <xf numFmtId="1" fontId="28" fillId="0" borderId="50" xfId="12" applyNumberFormat="1" applyBorder="1"/>
    <xf numFmtId="0" fontId="28" fillId="0" borderId="73" xfId="12" applyBorder="1"/>
    <xf numFmtId="0" fontId="28" fillId="0" borderId="77" xfId="12" applyBorder="1"/>
    <xf numFmtId="0" fontId="28" fillId="0" borderId="50" xfId="12" applyBorder="1"/>
    <xf numFmtId="0" fontId="28" fillId="0" borderId="78" xfId="12" applyBorder="1"/>
    <xf numFmtId="10" fontId="32" fillId="0" borderId="0" xfId="12" applyNumberFormat="1" applyFont="1"/>
    <xf numFmtId="0" fontId="24" fillId="0" borderId="79" xfId="12" applyFont="1" applyBorder="1"/>
    <xf numFmtId="1" fontId="24" fillId="13" borderId="50" xfId="12" applyNumberFormat="1" applyFont="1" applyFill="1" applyBorder="1" applyAlignment="1">
      <alignment horizontal="center"/>
    </xf>
    <xf numFmtId="170" fontId="24" fillId="13" borderId="50" xfId="12" applyNumberFormat="1" applyFont="1" applyFill="1" applyBorder="1" applyAlignment="1">
      <alignment horizontal="center"/>
    </xf>
    <xf numFmtId="0" fontId="24" fillId="11" borderId="78" xfId="12" applyFont="1" applyFill="1" applyBorder="1"/>
    <xf numFmtId="0" fontId="24" fillId="12" borderId="66" xfId="12" applyFont="1" applyFill="1" applyBorder="1"/>
    <xf numFmtId="0" fontId="28" fillId="0" borderId="10" xfId="12" applyBorder="1"/>
    <xf numFmtId="0" fontId="28" fillId="0" borderId="59" xfId="12" applyBorder="1"/>
    <xf numFmtId="0" fontId="28" fillId="0" borderId="64" xfId="12" applyBorder="1"/>
    <xf numFmtId="0" fontId="28" fillId="0" borderId="80" xfId="12" applyBorder="1"/>
    <xf numFmtId="0" fontId="28" fillId="0" borderId="75" xfId="12" applyBorder="1"/>
    <xf numFmtId="3" fontId="28" fillId="0" borderId="64" xfId="12" applyNumberFormat="1" applyBorder="1" applyAlignment="1">
      <alignment horizontal="center" vertical="center"/>
    </xf>
    <xf numFmtId="0" fontId="28" fillId="0" borderId="67" xfId="12" applyBorder="1"/>
    <xf numFmtId="3" fontId="28" fillId="0" borderId="75" xfId="12" applyNumberFormat="1" applyBorder="1" applyAlignment="1">
      <alignment horizontal="center"/>
    </xf>
    <xf numFmtId="0" fontId="28" fillId="0" borderId="65" xfId="12" applyBorder="1"/>
    <xf numFmtId="0" fontId="28" fillId="0" borderId="63" xfId="12" applyBorder="1"/>
    <xf numFmtId="1" fontId="28" fillId="0" borderId="0" xfId="12" applyNumberFormat="1" applyAlignment="1">
      <alignment horizontal="center"/>
    </xf>
    <xf numFmtId="0" fontId="28" fillId="0" borderId="11" xfId="12" applyBorder="1"/>
    <xf numFmtId="0" fontId="28" fillId="0" borderId="81" xfId="12" applyBorder="1"/>
    <xf numFmtId="0" fontId="28" fillId="0" borderId="5" xfId="12" applyBorder="1"/>
    <xf numFmtId="0" fontId="28" fillId="0" borderId="82" xfId="12" applyBorder="1"/>
    <xf numFmtId="0" fontId="28" fillId="0" borderId="83" xfId="12" applyBorder="1"/>
    <xf numFmtId="0" fontId="28" fillId="0" borderId="83" xfId="12" applyBorder="1" applyAlignment="1">
      <alignment horizontal="center"/>
    </xf>
    <xf numFmtId="0" fontId="28" fillId="0" borderId="84" xfId="12" applyBorder="1"/>
    <xf numFmtId="0" fontId="37" fillId="0" borderId="0" xfId="12" applyFont="1"/>
    <xf numFmtId="0" fontId="28" fillId="0" borderId="0" xfId="12" applyAlignment="1">
      <alignment horizontal="left"/>
    </xf>
    <xf numFmtId="0" fontId="30" fillId="0" borderId="0" xfId="12" applyFont="1" applyAlignment="1">
      <alignment horizontal="left" vertical="center"/>
    </xf>
    <xf numFmtId="0" fontId="4" fillId="0" borderId="0" xfId="0" applyFont="1"/>
    <xf numFmtId="44" fontId="4" fillId="0" borderId="0" xfId="1" applyFont="1" applyBorder="1"/>
    <xf numFmtId="0" fontId="4" fillId="0" borderId="0" xfId="5" applyFont="1"/>
    <xf numFmtId="164" fontId="4" fillId="0" borderId="0" xfId="1" applyNumberFormat="1" applyFont="1"/>
    <xf numFmtId="164" fontId="4" fillId="0" borderId="3" xfId="5" applyNumberFormat="1" applyFont="1" applyBorder="1"/>
    <xf numFmtId="0" fontId="4" fillId="0" borderId="7" xfId="5" applyFont="1" applyBorder="1"/>
    <xf numFmtId="164" fontId="4" fillId="0" borderId="29" xfId="1" applyNumberFormat="1" applyFont="1" applyBorder="1" applyAlignment="1">
      <alignment horizontal="center"/>
    </xf>
    <xf numFmtId="166" fontId="24" fillId="3" borderId="46" xfId="12" applyNumberFormat="1" applyFont="1" applyFill="1" applyBorder="1" applyAlignment="1">
      <alignment horizontal="center"/>
    </xf>
    <xf numFmtId="164" fontId="28" fillId="3" borderId="46" xfId="1" applyNumberFormat="1" applyFont="1" applyFill="1" applyBorder="1" applyAlignment="1">
      <alignment horizontal="center"/>
    </xf>
    <xf numFmtId="0" fontId="24" fillId="0" borderId="0" xfId="12" applyFont="1" applyAlignment="1">
      <alignment horizontal="center"/>
    </xf>
    <xf numFmtId="166" fontId="28" fillId="0" borderId="0" xfId="12" applyNumberFormat="1"/>
    <xf numFmtId="0" fontId="3" fillId="0" borderId="0" xfId="0" applyFont="1" applyAlignment="1">
      <alignment horizontal="center" wrapText="1"/>
    </xf>
    <xf numFmtId="0" fontId="3" fillId="0" borderId="0" xfId="0" applyFont="1"/>
    <xf numFmtId="1" fontId="13" fillId="0" borderId="0" xfId="0" applyNumberFormat="1" applyFont="1"/>
    <xf numFmtId="165" fontId="0" fillId="0" borderId="0" xfId="0" applyNumberFormat="1"/>
    <xf numFmtId="0" fontId="2" fillId="0" borderId="0" xfId="5" applyFont="1"/>
    <xf numFmtId="0" fontId="2" fillId="0" borderId="0" xfId="0" applyFont="1"/>
    <xf numFmtId="6" fontId="0" fillId="0" borderId="0" xfId="0" applyNumberFormat="1"/>
    <xf numFmtId="0" fontId="20" fillId="0" borderId="0" xfId="5" applyFont="1"/>
    <xf numFmtId="44" fontId="0" fillId="0" borderId="0" xfId="6" applyNumberFormat="1" applyFont="1"/>
    <xf numFmtId="0" fontId="2" fillId="0" borderId="0" xfId="2" applyFont="1"/>
    <xf numFmtId="1" fontId="12" fillId="0" borderId="0" xfId="2" applyNumberFormat="1"/>
    <xf numFmtId="3" fontId="2" fillId="0" borderId="0" xfId="2" applyNumberFormat="1" applyFont="1"/>
    <xf numFmtId="164" fontId="2" fillId="0" borderId="0" xfId="2" applyNumberFormat="1" applyFont="1"/>
    <xf numFmtId="0" fontId="2" fillId="0" borderId="0" xfId="0" applyFont="1" applyBorder="1"/>
    <xf numFmtId="164" fontId="16" fillId="3" borderId="3" xfId="1" applyNumberFormat="1" applyFont="1" applyFill="1" applyBorder="1" applyAlignment="1"/>
    <xf numFmtId="6" fontId="5" fillId="0" borderId="0" xfId="0" applyNumberFormat="1" applyFont="1" applyAlignment="1">
      <alignment horizontal="right"/>
    </xf>
    <xf numFmtId="0" fontId="1" fillId="0" borderId="0" xfId="5" applyFont="1"/>
    <xf numFmtId="0" fontId="19" fillId="0" borderId="47" xfId="2" applyFont="1" applyBorder="1" applyAlignment="1">
      <alignment horizontal="center"/>
    </xf>
    <xf numFmtId="0" fontId="19" fillId="0" borderId="48" xfId="2" applyFont="1" applyBorder="1"/>
    <xf numFmtId="1" fontId="19" fillId="0" borderId="47" xfId="2" applyNumberFormat="1" applyFont="1" applyBorder="1" applyAlignment="1">
      <alignment horizontal="center"/>
    </xf>
    <xf numFmtId="1" fontId="19" fillId="0" borderId="85" xfId="2" applyNumberFormat="1" applyFont="1" applyBorder="1" applyAlignment="1">
      <alignment horizontal="center"/>
    </xf>
    <xf numFmtId="0" fontId="19" fillId="0" borderId="46" xfId="2" applyFont="1" applyBorder="1" applyAlignment="1">
      <alignment horizontal="center"/>
    </xf>
    <xf numFmtId="164" fontId="19" fillId="0" borderId="48" xfId="3" applyNumberFormat="1" applyFont="1" applyBorder="1" applyAlignment="1">
      <alignment horizontal="center"/>
    </xf>
    <xf numFmtId="164" fontId="19" fillId="0" borderId="47" xfId="3" applyNumberFormat="1" applyFont="1" applyBorder="1" applyAlignment="1">
      <alignment horizontal="center"/>
    </xf>
    <xf numFmtId="1" fontId="19" fillId="0" borderId="48" xfId="2" applyNumberFormat="1" applyFont="1" applyBorder="1" applyAlignment="1">
      <alignment horizontal="center"/>
    </xf>
    <xf numFmtId="0" fontId="19" fillId="4" borderId="12" xfId="2" applyFont="1" applyFill="1" applyBorder="1"/>
    <xf numFmtId="1" fontId="19" fillId="4" borderId="86" xfId="2" applyNumberFormat="1" applyFont="1" applyFill="1" applyBorder="1" applyAlignment="1">
      <alignment horizontal="center" vertical="center"/>
    </xf>
    <xf numFmtId="0" fontId="33" fillId="9" borderId="0" xfId="12" applyFont="1" applyFill="1"/>
    <xf numFmtId="0" fontId="28" fillId="0" borderId="0" xfId="12"/>
    <xf numFmtId="0" fontId="32" fillId="0" borderId="51" xfId="12" applyFont="1" applyBorder="1" applyAlignment="1">
      <alignment horizontal="center"/>
    </xf>
    <xf numFmtId="0" fontId="34" fillId="0" borderId="52" xfId="12" applyFont="1" applyBorder="1"/>
    <xf numFmtId="0" fontId="35" fillId="6" borderId="54" xfId="12" applyFont="1" applyFill="1" applyBorder="1" applyAlignment="1">
      <alignment horizontal="center" vertical="center"/>
    </xf>
    <xf numFmtId="0" fontId="35" fillId="6" borderId="2" xfId="12" applyFont="1" applyFill="1" applyBorder="1" applyAlignment="1">
      <alignment horizontal="center" vertical="center"/>
    </xf>
    <xf numFmtId="0" fontId="35" fillId="6" borderId="3" xfId="12" applyFont="1" applyFill="1" applyBorder="1" applyAlignment="1">
      <alignment horizontal="center" vertical="center"/>
    </xf>
    <xf numFmtId="0" fontId="28" fillId="0" borderId="66" xfId="12" applyBorder="1" applyAlignment="1">
      <alignment horizontal="left"/>
    </xf>
    <xf numFmtId="0" fontId="28" fillId="0" borderId="64" xfId="12" applyBorder="1" applyAlignment="1">
      <alignment horizontal="left"/>
    </xf>
    <xf numFmtId="0" fontId="28" fillId="0" borderId="75" xfId="12" applyBorder="1" applyAlignment="1">
      <alignment horizontal="center"/>
    </xf>
    <xf numFmtId="0" fontId="28" fillId="0" borderId="80" xfId="12" applyBorder="1" applyAlignment="1">
      <alignment horizontal="center"/>
    </xf>
    <xf numFmtId="0" fontId="31" fillId="7" borderId="14" xfId="12" applyFont="1" applyFill="1" applyBorder="1" applyAlignment="1">
      <alignment horizontal="center"/>
    </xf>
    <xf numFmtId="0" fontId="31" fillId="7" borderId="15" xfId="12" applyFont="1" applyFill="1" applyBorder="1" applyAlignment="1">
      <alignment horizontal="center"/>
    </xf>
    <xf numFmtId="0" fontId="31" fillId="7" borderId="16" xfId="12" applyFont="1" applyFill="1" applyBorder="1" applyAlignment="1">
      <alignment horizontal="center"/>
    </xf>
    <xf numFmtId="0" fontId="17" fillId="4" borderId="14" xfId="2" applyFont="1" applyFill="1" applyBorder="1" applyAlignment="1">
      <alignment horizontal="center"/>
    </xf>
    <xf numFmtId="0" fontId="17" fillId="4" borderId="15" xfId="2" applyFont="1" applyFill="1" applyBorder="1" applyAlignment="1">
      <alignment horizontal="center"/>
    </xf>
    <xf numFmtId="0" fontId="17" fillId="4" borderId="16" xfId="2" applyFont="1" applyFill="1" applyBorder="1" applyAlignment="1">
      <alignment horizontal="center"/>
    </xf>
    <xf numFmtId="0" fontId="17" fillId="4" borderId="12" xfId="2" applyFont="1" applyFill="1" applyBorder="1" applyAlignment="1">
      <alignment horizontal="center" vertical="center" wrapText="1"/>
    </xf>
    <xf numFmtId="0" fontId="17" fillId="4" borderId="17" xfId="2" applyFont="1" applyFill="1" applyBorder="1" applyAlignment="1">
      <alignment horizontal="center" vertical="center" wrapText="1"/>
    </xf>
    <xf numFmtId="0" fontId="17" fillId="4" borderId="23" xfId="2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/>
    </xf>
    <xf numFmtId="0" fontId="17" fillId="4" borderId="18" xfId="2" applyFont="1" applyFill="1" applyBorder="1" applyAlignment="1">
      <alignment horizontal="center" vertical="center"/>
    </xf>
    <xf numFmtId="0" fontId="17" fillId="4" borderId="24" xfId="2" applyFont="1" applyFill="1" applyBorder="1" applyAlignment="1">
      <alignment horizontal="center" vertic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9" xfId="2" applyFont="1" applyFill="1" applyBorder="1" applyAlignment="1">
      <alignment horizontal="center" vertical="center" wrapText="1"/>
    </xf>
    <xf numFmtId="0" fontId="19" fillId="4" borderId="1" xfId="2" applyFont="1" applyFill="1" applyBorder="1" applyAlignment="1">
      <alignment horizontal="left"/>
    </xf>
    <xf numFmtId="0" fontId="19" fillId="4" borderId="3" xfId="2" applyFont="1" applyFill="1" applyBorder="1" applyAlignment="1">
      <alignment horizontal="left"/>
    </xf>
    <xf numFmtId="0" fontId="19" fillId="4" borderId="4" xfId="2" applyFont="1" applyFill="1" applyBorder="1" applyAlignment="1">
      <alignment horizontal="left"/>
    </xf>
    <xf numFmtId="0" fontId="19" fillId="4" borderId="6" xfId="2" applyFont="1" applyFill="1" applyBorder="1" applyAlignment="1">
      <alignment horizontal="left"/>
    </xf>
    <xf numFmtId="0" fontId="16" fillId="5" borderId="36" xfId="5" applyFont="1" applyFill="1" applyBorder="1" applyAlignment="1">
      <alignment horizontal="center"/>
    </xf>
    <xf numFmtId="0" fontId="16" fillId="5" borderId="37" xfId="5" applyFont="1" applyFill="1" applyBorder="1" applyAlignment="1">
      <alignment horizontal="center"/>
    </xf>
    <xf numFmtId="0" fontId="16" fillId="5" borderId="2" xfId="5" applyFont="1" applyFill="1" applyBorder="1" applyAlignment="1">
      <alignment horizontal="center"/>
    </xf>
    <xf numFmtId="0" fontId="16" fillId="5" borderId="3" xfId="5" applyFont="1" applyFill="1" applyBorder="1" applyAlignment="1">
      <alignment horizontal="center"/>
    </xf>
    <xf numFmtId="0" fontId="11" fillId="0" borderId="1" xfId="5" applyBorder="1" applyAlignment="1">
      <alignment horizontal="center" vertical="center" wrapText="1"/>
    </xf>
    <xf numFmtId="0" fontId="11" fillId="0" borderId="3" xfId="5" applyBorder="1" applyAlignment="1">
      <alignment horizontal="center" vertical="center" wrapText="1"/>
    </xf>
    <xf numFmtId="0" fontId="11" fillId="0" borderId="10" xfId="5" applyBorder="1" applyAlignment="1">
      <alignment horizontal="center" vertical="center" wrapText="1"/>
    </xf>
    <xf numFmtId="0" fontId="11" fillId="0" borderId="11" xfId="5" applyBorder="1" applyAlignment="1">
      <alignment horizontal="center" vertical="center" wrapText="1"/>
    </xf>
    <xf numFmtId="0" fontId="11" fillId="0" borderId="4" xfId="5" applyBorder="1" applyAlignment="1">
      <alignment horizontal="center" vertical="center" wrapText="1"/>
    </xf>
    <xf numFmtId="0" fontId="11" fillId="0" borderId="6" xfId="5" applyBorder="1" applyAlignment="1">
      <alignment horizontal="center" vertical="center" wrapText="1"/>
    </xf>
    <xf numFmtId="0" fontId="11" fillId="0" borderId="10" xfId="5" applyBorder="1" applyAlignment="1">
      <alignment horizontal="center" wrapText="1"/>
    </xf>
    <xf numFmtId="0" fontId="11" fillId="0" borderId="11" xfId="5" applyBorder="1" applyAlignment="1">
      <alignment horizontal="center" wrapText="1"/>
    </xf>
    <xf numFmtId="0" fontId="11" fillId="0" borderId="4" xfId="5" applyBorder="1" applyAlignment="1">
      <alignment horizontal="center" wrapText="1"/>
    </xf>
    <xf numFmtId="0" fontId="11" fillId="0" borderId="6" xfId="5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6" fillId="5" borderId="44" xfId="5" applyFont="1" applyFill="1" applyBorder="1" applyAlignment="1">
      <alignment horizontal="center"/>
    </xf>
  </cellXfs>
  <cellStyles count="16">
    <cellStyle name="Comma 2" xfId="7" xr:uid="{42E4F9EF-89A6-453A-8F4D-46BB261E2E3A}"/>
    <cellStyle name="Comma 3" xfId="13" xr:uid="{D6CE62CE-BAF6-4089-91F6-506D7E45E9C2}"/>
    <cellStyle name="Currency" xfId="1" builtinId="4"/>
    <cellStyle name="Currency 2" xfId="3" xr:uid="{D61D01F2-3583-42D4-ACDC-17DCFAD6CB4C}"/>
    <cellStyle name="Currency 3" xfId="6" xr:uid="{BC63C486-070F-4BCD-9B2F-C08621F5D5FD}"/>
    <cellStyle name="Currency 4" xfId="11" xr:uid="{121BEE86-A5E3-4AB1-98DC-5E91A199AA1B}"/>
    <cellStyle name="Currency 5" xfId="15" xr:uid="{5F081522-CA3F-492C-AA42-DC17EABA8562}"/>
    <cellStyle name="Hyperlink" xfId="8" builtinId="8"/>
    <cellStyle name="Normal" xfId="0" builtinId="0"/>
    <cellStyle name="Normal 2" xfId="2" xr:uid="{CF87CB0A-1490-4EF1-848C-60A3CABAAE47}"/>
    <cellStyle name="Normal 2 2" xfId="10" xr:uid="{19152922-E2E7-4A16-9361-1C85132ADF52}"/>
    <cellStyle name="Normal 3" xfId="5" xr:uid="{27E1B58C-2FA8-4859-B044-4D9939849DED}"/>
    <cellStyle name="Normal 4" xfId="9" xr:uid="{9E0E9DF3-3089-4628-8EE0-8DB787A91956}"/>
    <cellStyle name="Normal 5" xfId="12" xr:uid="{A6BF061D-5756-4173-93C2-547A3412D8B5}"/>
    <cellStyle name="Normal 6" xfId="14" xr:uid="{8F54000E-79DA-4FE3-9CE8-83B12CF18963}"/>
    <cellStyle name="Percent 2" xfId="4" xr:uid="{8A07C2D5-B104-4B97-9D9B-08408BE65E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r>
              <a:rPr lang="en-US"/>
              <a:t>Electrical Use by Year (kWh)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2019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[1]Electric_Data!$A$5:$A$16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[1]Electric_Data!$B$5:$B$16</c:f>
              <c:numCache>
                <c:formatCode>General</c:formatCode>
                <c:ptCount val="12"/>
                <c:pt idx="0">
                  <c:v>298200</c:v>
                </c:pt>
                <c:pt idx="1">
                  <c:v>265800</c:v>
                </c:pt>
                <c:pt idx="2">
                  <c:v>295200</c:v>
                </c:pt>
                <c:pt idx="3">
                  <c:v>285000</c:v>
                </c:pt>
                <c:pt idx="4">
                  <c:v>309600</c:v>
                </c:pt>
                <c:pt idx="5">
                  <c:v>375000</c:v>
                </c:pt>
                <c:pt idx="6">
                  <c:v>349200</c:v>
                </c:pt>
                <c:pt idx="7">
                  <c:v>354000</c:v>
                </c:pt>
                <c:pt idx="8">
                  <c:v>378000</c:v>
                </c:pt>
                <c:pt idx="9">
                  <c:v>309000</c:v>
                </c:pt>
                <c:pt idx="10">
                  <c:v>291600</c:v>
                </c:pt>
                <c:pt idx="11">
                  <c:v>306600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94D-471F-A900-49423F47C09A}"/>
            </c:ext>
          </c:extLst>
        </c:ser>
        <c:ser>
          <c:idx val="1"/>
          <c:order val="1"/>
          <c:tx>
            <c:v>2020</c:v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[1]Electric_Data!$A$5:$A$16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[1]Electric_Data!$I$5:$I$16</c:f>
              <c:numCache>
                <c:formatCode>General</c:formatCode>
                <c:ptCount val="12"/>
                <c:pt idx="0">
                  <c:v>274200</c:v>
                </c:pt>
                <c:pt idx="1">
                  <c:v>276000</c:v>
                </c:pt>
                <c:pt idx="2">
                  <c:v>260400</c:v>
                </c:pt>
                <c:pt idx="3">
                  <c:v>232200</c:v>
                </c:pt>
                <c:pt idx="4">
                  <c:v>240600</c:v>
                </c:pt>
                <c:pt idx="5">
                  <c:v>242400</c:v>
                </c:pt>
                <c:pt idx="6">
                  <c:v>253200</c:v>
                </c:pt>
                <c:pt idx="7">
                  <c:v>262200</c:v>
                </c:pt>
                <c:pt idx="8">
                  <c:v>285000</c:v>
                </c:pt>
                <c:pt idx="9">
                  <c:v>226800</c:v>
                </c:pt>
                <c:pt idx="10">
                  <c:v>208200</c:v>
                </c:pt>
                <c:pt idx="11">
                  <c:v>237000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A94D-471F-A900-49423F47C09A}"/>
            </c:ext>
          </c:extLst>
        </c:ser>
        <c:ser>
          <c:idx val="2"/>
          <c:order val="2"/>
          <c:tx>
            <c:v>2021</c:v>
          </c:tx>
          <c:spPr>
            <a:solidFill>
              <a:srgbClr val="FBBC0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[1]Electric_Data!$A$5:$A$16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[1]Electric_Data!$P$5:$P$16</c:f>
              <c:numCache>
                <c:formatCode>General</c:formatCode>
                <c:ptCount val="12"/>
                <c:pt idx="0">
                  <c:v>253200</c:v>
                </c:pt>
                <c:pt idx="1">
                  <c:v>198000</c:v>
                </c:pt>
                <c:pt idx="2">
                  <c:v>190200</c:v>
                </c:pt>
                <c:pt idx="3">
                  <c:v>195600</c:v>
                </c:pt>
                <c:pt idx="4">
                  <c:v>225000</c:v>
                </c:pt>
                <c:pt idx="5">
                  <c:v>252000</c:v>
                </c:pt>
                <c:pt idx="6">
                  <c:v>291600</c:v>
                </c:pt>
                <c:pt idx="7">
                  <c:v>301800</c:v>
                </c:pt>
                <c:pt idx="8">
                  <c:v>264600</c:v>
                </c:pt>
                <c:pt idx="9">
                  <c:v>227400</c:v>
                </c:pt>
                <c:pt idx="10">
                  <c:v>205800</c:v>
                </c:pt>
                <c:pt idx="11">
                  <c:v>231600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A94D-471F-A900-49423F47C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5581193"/>
        <c:axId val="1293878219"/>
      </c:barChart>
      <c:catAx>
        <c:axId val="17955811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93878219"/>
        <c:crosses val="autoZero"/>
        <c:auto val="1"/>
        <c:lblAlgn val="ctr"/>
        <c:lblOffset val="100"/>
        <c:noMultiLvlLbl val="1"/>
      </c:catAx>
      <c:valAx>
        <c:axId val="12938782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9558119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r>
              <a:rPr lang="en-US"/>
              <a:t>Natural Gas Use by Year (Therms)</a:t>
            </a:r>
          </a:p>
        </c:rich>
      </c:tx>
      <c:layout>
        <c:manualLayout>
          <c:xMode val="edge"/>
          <c:yMode val="edge"/>
          <c:x val="0.31971111111111117"/>
          <c:y val="2.15633423180593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2019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[1]Gas_Data!$A$6:$A$19</c:f>
              <c:strCache>
                <c:ptCount val="14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(April part2)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(nov part 2)</c:v>
                </c:pt>
                <c:pt idx="13">
                  <c:v>December</c:v>
                </c:pt>
              </c:strCache>
            </c:strRef>
          </c:cat>
          <c:val>
            <c:numRef>
              <c:f>[1]Gas_Data!$B$6:$B$17</c:f>
              <c:numCache>
                <c:formatCode>General</c:formatCode>
                <c:ptCount val="12"/>
                <c:pt idx="0">
                  <c:v>659</c:v>
                </c:pt>
                <c:pt idx="1">
                  <c:v>583.9</c:v>
                </c:pt>
                <c:pt idx="2">
                  <c:v>589.6</c:v>
                </c:pt>
                <c:pt idx="3">
                  <c:v>177</c:v>
                </c:pt>
                <c:pt idx="4">
                  <c:v>152.19999999999999</c:v>
                </c:pt>
                <c:pt idx="5">
                  <c:v>85.3</c:v>
                </c:pt>
                <c:pt idx="6">
                  <c:v>69.8</c:v>
                </c:pt>
                <c:pt idx="7">
                  <c:v>19.399999999999999</c:v>
                </c:pt>
                <c:pt idx="8">
                  <c:v>1.2</c:v>
                </c:pt>
                <c:pt idx="9">
                  <c:v>1.2</c:v>
                </c:pt>
                <c:pt idx="10">
                  <c:v>254.1</c:v>
                </c:pt>
                <c:pt idx="11">
                  <c:v>178.9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DEE-467C-BFFB-D3EFDF2B130A}"/>
            </c:ext>
          </c:extLst>
        </c:ser>
        <c:ser>
          <c:idx val="1"/>
          <c:order val="1"/>
          <c:tx>
            <c:v>2020</c:v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[1]Gas_Data!$A$6:$A$19</c:f>
              <c:strCache>
                <c:ptCount val="14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(April part2)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(nov part 2)</c:v>
                </c:pt>
                <c:pt idx="13">
                  <c:v>December</c:v>
                </c:pt>
              </c:strCache>
            </c:strRef>
          </c:cat>
          <c:val>
            <c:numRef>
              <c:f>[1]Gas_Data!$G$6:$G$19</c:f>
              <c:numCache>
                <c:formatCode>General</c:formatCode>
                <c:ptCount val="14"/>
                <c:pt idx="0">
                  <c:v>731.2</c:v>
                </c:pt>
                <c:pt idx="1">
                  <c:v>624.20000000000005</c:v>
                </c:pt>
                <c:pt idx="2">
                  <c:v>496</c:v>
                </c:pt>
                <c:pt idx="3">
                  <c:v>103.9</c:v>
                </c:pt>
                <c:pt idx="5">
                  <c:v>7.1</c:v>
                </c:pt>
                <c:pt idx="6">
                  <c:v>1.2</c:v>
                </c:pt>
                <c:pt idx="7">
                  <c:v>2.4</c:v>
                </c:pt>
                <c:pt idx="8">
                  <c:v>1.2</c:v>
                </c:pt>
                <c:pt idx="9">
                  <c:v>1.2</c:v>
                </c:pt>
                <c:pt idx="10">
                  <c:v>14.4</c:v>
                </c:pt>
                <c:pt idx="11">
                  <c:v>202.5</c:v>
                </c:pt>
                <c:pt idx="12">
                  <c:v>374.8</c:v>
                </c:pt>
                <c:pt idx="13">
                  <c:v>718.2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DEE-467C-BFFB-D3EFDF2B130A}"/>
            </c:ext>
          </c:extLst>
        </c:ser>
        <c:ser>
          <c:idx val="2"/>
          <c:order val="2"/>
          <c:tx>
            <c:v>2021</c:v>
          </c:tx>
          <c:spPr>
            <a:solidFill>
              <a:srgbClr val="FBBC0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[1]Gas_Data!$A$6:$A$19</c:f>
              <c:strCache>
                <c:ptCount val="14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(April part2)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(nov part 2)</c:v>
                </c:pt>
                <c:pt idx="13">
                  <c:v>December</c:v>
                </c:pt>
              </c:strCache>
            </c:strRef>
          </c:cat>
          <c:val>
            <c:numRef>
              <c:f>[1]Gas_Data!$L$6:$L$19</c:f>
              <c:numCache>
                <c:formatCode>General</c:formatCode>
                <c:ptCount val="14"/>
                <c:pt idx="0">
                  <c:v>755.9</c:v>
                </c:pt>
                <c:pt idx="1">
                  <c:v>770.4</c:v>
                </c:pt>
                <c:pt idx="2">
                  <c:v>541.29999999999995</c:v>
                </c:pt>
                <c:pt idx="3">
                  <c:v>318.39999999999998</c:v>
                </c:pt>
                <c:pt idx="5">
                  <c:v>192.7</c:v>
                </c:pt>
                <c:pt idx="6">
                  <c:v>53.9</c:v>
                </c:pt>
                <c:pt idx="7">
                  <c:v>1.2</c:v>
                </c:pt>
                <c:pt idx="8">
                  <c:v>1.2</c:v>
                </c:pt>
                <c:pt idx="9">
                  <c:v>2.4</c:v>
                </c:pt>
                <c:pt idx="10">
                  <c:v>15.4</c:v>
                </c:pt>
                <c:pt idx="11">
                  <c:v>313.10000000000002</c:v>
                </c:pt>
                <c:pt idx="12">
                  <c:v>164.9</c:v>
                </c:pt>
                <c:pt idx="13">
                  <c:v>597.5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EDEE-467C-BFFB-D3EFDF2B1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274180"/>
        <c:axId val="902483949"/>
      </c:barChart>
      <c:catAx>
        <c:axId val="4192741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02483949"/>
        <c:crosses val="autoZero"/>
        <c:auto val="1"/>
        <c:lblAlgn val="ctr"/>
        <c:lblOffset val="100"/>
        <c:noMultiLvlLbl val="1"/>
      </c:catAx>
      <c:valAx>
        <c:axId val="90248394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1927418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3-Year Ave. for Electrical Useage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[1]Electric_Data!$B$20</c:f>
              <c:strCache>
                <c:ptCount val="1"/>
                <c:pt idx="0">
                  <c:v>kWh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[1]Electric_Data!$A$21:$A$32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[1]Electric_Data!$B$21:$B$32</c:f>
              <c:numCache>
                <c:formatCode>General</c:formatCode>
                <c:ptCount val="12"/>
                <c:pt idx="0">
                  <c:v>275200</c:v>
                </c:pt>
                <c:pt idx="1">
                  <c:v>246600</c:v>
                </c:pt>
                <c:pt idx="2">
                  <c:v>248600</c:v>
                </c:pt>
                <c:pt idx="3">
                  <c:v>237600</c:v>
                </c:pt>
                <c:pt idx="4">
                  <c:v>258400</c:v>
                </c:pt>
                <c:pt idx="5">
                  <c:v>289800</c:v>
                </c:pt>
                <c:pt idx="6">
                  <c:v>298000</c:v>
                </c:pt>
                <c:pt idx="7">
                  <c:v>306000</c:v>
                </c:pt>
                <c:pt idx="8">
                  <c:v>309200</c:v>
                </c:pt>
                <c:pt idx="9">
                  <c:v>254400</c:v>
                </c:pt>
                <c:pt idx="10">
                  <c:v>235200</c:v>
                </c:pt>
                <c:pt idx="11">
                  <c:v>258400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2-4556-BAD3-5779889B5171}"/>
            </c:ext>
          </c:extLst>
        </c:ser>
        <c:ser>
          <c:idx val="1"/>
          <c:order val="1"/>
          <c:tx>
            <c:strRef>
              <c:f>[1]Electric_Data!$C$20</c:f>
              <c:strCache>
                <c:ptCount val="1"/>
                <c:pt idx="0">
                  <c:v>kW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[1]Electric_Data!$A$21:$A$32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[1]Electric_Data!$C$21:$C$32</c:f>
              <c:numCache>
                <c:formatCode>General</c:formatCode>
                <c:ptCount val="12"/>
                <c:pt idx="0">
                  <c:v>432</c:v>
                </c:pt>
                <c:pt idx="1">
                  <c:v>455.33333333333331</c:v>
                </c:pt>
                <c:pt idx="2">
                  <c:v>452</c:v>
                </c:pt>
                <c:pt idx="3">
                  <c:v>468.33333333333331</c:v>
                </c:pt>
                <c:pt idx="4">
                  <c:v>538</c:v>
                </c:pt>
                <c:pt idx="5">
                  <c:v>634</c:v>
                </c:pt>
                <c:pt idx="6">
                  <c:v>677.66666666666663</c:v>
                </c:pt>
                <c:pt idx="7">
                  <c:v>710.66666666666663</c:v>
                </c:pt>
                <c:pt idx="8">
                  <c:v>653.66666666666663</c:v>
                </c:pt>
                <c:pt idx="9">
                  <c:v>552.33333333333337</c:v>
                </c:pt>
                <c:pt idx="10">
                  <c:v>491.66666666666669</c:v>
                </c:pt>
                <c:pt idx="11">
                  <c:v>461.66666666666669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92-4556-BAD3-5779889B5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6347591"/>
        <c:axId val="703857191"/>
      </c:barChart>
      <c:catAx>
        <c:axId val="656347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857191"/>
        <c:crosses val="autoZero"/>
        <c:auto val="1"/>
        <c:lblAlgn val="ctr"/>
        <c:lblOffset val="100"/>
        <c:noMultiLvlLbl val="0"/>
      </c:catAx>
      <c:valAx>
        <c:axId val="703857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347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742950</xdr:colOff>
      <xdr:row>24</xdr:row>
      <xdr:rowOff>171450</xdr:rowOff>
    </xdr:from>
    <xdr:ext cx="5715000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A1C178B7-FC02-40B6-A536-431337900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47625</xdr:colOff>
      <xdr:row>44</xdr:row>
      <xdr:rowOff>161925</xdr:rowOff>
    </xdr:from>
    <xdr:ext cx="5715000" cy="353377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AF0A256D-E608-4F36-8791-C683CABD8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>
    <xdr:from>
      <xdr:col>1</xdr:col>
      <xdr:colOff>47625</xdr:colOff>
      <xdr:row>44</xdr:row>
      <xdr:rowOff>180975</xdr:rowOff>
    </xdr:from>
    <xdr:to>
      <xdr:col>7</xdr:col>
      <xdr:colOff>695325</xdr:colOff>
      <xdr:row>61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2407956-7B7D-456B-9166-9D293BAC7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580159</xdr:colOff>
      <xdr:row>2</xdr:row>
      <xdr:rowOff>95250</xdr:rowOff>
    </xdr:from>
    <xdr:to>
      <xdr:col>30</xdr:col>
      <xdr:colOff>594237</xdr:colOff>
      <xdr:row>48</xdr:row>
      <xdr:rowOff>17095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91261D-5142-4DB3-AA72-11D3D3DF9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0" y="502227"/>
          <a:ext cx="11536384" cy="8324108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30</xdr:col>
      <xdr:colOff>473507</xdr:colOff>
      <xdr:row>98</xdr:row>
      <xdr:rowOff>36701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13116A5-FF0B-C2EC-DAE4-72C980090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36727" y="9360477"/>
          <a:ext cx="11374437" cy="85832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31</xdr:col>
      <xdr:colOff>15983</xdr:colOff>
      <xdr:row>48</xdr:row>
      <xdr:rowOff>94161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CEA21-B391-6540-9F7F-D96DFB98D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0" y="545523"/>
          <a:ext cx="11526859" cy="8335538"/>
        </a:xfrm>
        <a:prstGeom prst="rect">
          <a:avLst/>
        </a:prstGeom>
      </xdr:spPr>
    </xdr:pic>
    <xdr:clientData/>
  </xdr:twoCellAnchor>
  <xdr:twoCellAnchor editAs="oneCell">
    <xdr:from>
      <xdr:col>12</xdr:col>
      <xdr:colOff>581891</xdr:colOff>
      <xdr:row>51</xdr:row>
      <xdr:rowOff>152401</xdr:rowOff>
    </xdr:from>
    <xdr:to>
      <xdr:col>31</xdr:col>
      <xdr:colOff>385361</xdr:colOff>
      <xdr:row>98</xdr:row>
      <xdr:rowOff>57109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D1DE3C9-AEF5-F52A-F841-281D2026D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23764" y="9504219"/>
          <a:ext cx="11385870" cy="83698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zan\OneDrive\Documents\CBEA\Cabelas%20Tualatin%20Report\Cabelas_Tualatin_Utility_SM%20Correc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ec67cb8da90d468/Documents/CBEA/Cabelas%20Springfield%20Report/Cabelas%20Springfield%20EEMs%20Calcs_Re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s"/>
      <sheetName val="Electric_Data"/>
      <sheetName val="Gas_Data"/>
      <sheetName val="2021 Utility"/>
    </sheetNames>
    <sheetDataSet>
      <sheetData sheetId="0"/>
      <sheetData sheetId="1">
        <row r="5">
          <cell r="A5" t="str">
            <v>January</v>
          </cell>
          <cell r="B5">
            <v>298200</v>
          </cell>
          <cell r="I5">
            <v>274200</v>
          </cell>
          <cell r="P5">
            <v>253200</v>
          </cell>
        </row>
        <row r="6">
          <cell r="A6" t="str">
            <v>February</v>
          </cell>
          <cell r="B6">
            <v>265800</v>
          </cell>
          <cell r="I6">
            <v>276000</v>
          </cell>
          <cell r="P6">
            <v>198000</v>
          </cell>
        </row>
        <row r="7">
          <cell r="A7" t="str">
            <v>March</v>
          </cell>
          <cell r="B7">
            <v>295200</v>
          </cell>
          <cell r="I7">
            <v>260400</v>
          </cell>
          <cell r="P7">
            <v>190200</v>
          </cell>
        </row>
        <row r="8">
          <cell r="A8" t="str">
            <v>April</v>
          </cell>
          <cell r="B8">
            <v>285000</v>
          </cell>
          <cell r="I8">
            <v>232200</v>
          </cell>
          <cell r="P8">
            <v>195600</v>
          </cell>
        </row>
        <row r="9">
          <cell r="A9" t="str">
            <v>May</v>
          </cell>
          <cell r="B9">
            <v>309600</v>
          </cell>
          <cell r="I9">
            <v>240600</v>
          </cell>
          <cell r="P9">
            <v>225000</v>
          </cell>
        </row>
        <row r="10">
          <cell r="A10" t="str">
            <v>June</v>
          </cell>
          <cell r="B10">
            <v>375000</v>
          </cell>
          <cell r="I10">
            <v>242400</v>
          </cell>
          <cell r="P10">
            <v>252000</v>
          </cell>
        </row>
        <row r="11">
          <cell r="A11" t="str">
            <v>July</v>
          </cell>
          <cell r="B11">
            <v>349200</v>
          </cell>
          <cell r="I11">
            <v>253200</v>
          </cell>
          <cell r="P11">
            <v>291600</v>
          </cell>
        </row>
        <row r="12">
          <cell r="A12" t="str">
            <v>August</v>
          </cell>
          <cell r="B12">
            <v>354000</v>
          </cell>
          <cell r="I12">
            <v>262200</v>
          </cell>
          <cell r="P12">
            <v>301800</v>
          </cell>
        </row>
        <row r="13">
          <cell r="A13" t="str">
            <v>September</v>
          </cell>
          <cell r="B13">
            <v>378000</v>
          </cell>
          <cell r="I13">
            <v>285000</v>
          </cell>
          <cell r="P13">
            <v>264600</v>
          </cell>
        </row>
        <row r="14">
          <cell r="A14" t="str">
            <v>October</v>
          </cell>
          <cell r="B14">
            <v>309000</v>
          </cell>
          <cell r="I14">
            <v>226800</v>
          </cell>
          <cell r="P14">
            <v>227400</v>
          </cell>
        </row>
        <row r="15">
          <cell r="A15" t="str">
            <v>November</v>
          </cell>
          <cell r="B15">
            <v>291600</v>
          </cell>
          <cell r="I15">
            <v>208200</v>
          </cell>
          <cell r="P15">
            <v>205800</v>
          </cell>
        </row>
        <row r="16">
          <cell r="A16" t="str">
            <v>December</v>
          </cell>
          <cell r="B16">
            <v>306600</v>
          </cell>
          <cell r="I16">
            <v>237000</v>
          </cell>
          <cell r="P16">
            <v>231600</v>
          </cell>
        </row>
        <row r="20">
          <cell r="B20" t="str">
            <v>kWh</v>
          </cell>
          <cell r="C20" t="str">
            <v>kW</v>
          </cell>
        </row>
        <row r="21">
          <cell r="A21" t="str">
            <v>January</v>
          </cell>
          <cell r="B21">
            <v>275200</v>
          </cell>
          <cell r="C21">
            <v>432</v>
          </cell>
        </row>
        <row r="22">
          <cell r="A22" t="str">
            <v>February</v>
          </cell>
          <cell r="B22">
            <v>246600</v>
          </cell>
          <cell r="C22">
            <v>455.33333333333331</v>
          </cell>
        </row>
        <row r="23">
          <cell r="A23" t="str">
            <v>March</v>
          </cell>
          <cell r="B23">
            <v>248600</v>
          </cell>
          <cell r="C23">
            <v>452</v>
          </cell>
        </row>
        <row r="24">
          <cell r="A24" t="str">
            <v>April</v>
          </cell>
          <cell r="B24">
            <v>237600</v>
          </cell>
          <cell r="C24">
            <v>468.33333333333331</v>
          </cell>
        </row>
        <row r="25">
          <cell r="A25" t="str">
            <v>May</v>
          </cell>
          <cell r="B25">
            <v>258400</v>
          </cell>
          <cell r="C25">
            <v>538</v>
          </cell>
        </row>
        <row r="26">
          <cell r="A26" t="str">
            <v>June</v>
          </cell>
          <cell r="B26">
            <v>289800</v>
          </cell>
          <cell r="C26">
            <v>634</v>
          </cell>
        </row>
        <row r="27">
          <cell r="A27" t="str">
            <v>July</v>
          </cell>
          <cell r="B27">
            <v>298000</v>
          </cell>
          <cell r="C27">
            <v>677.66666666666663</v>
          </cell>
        </row>
        <row r="28">
          <cell r="A28" t="str">
            <v>August</v>
          </cell>
          <cell r="B28">
            <v>306000</v>
          </cell>
          <cell r="C28">
            <v>710.66666666666663</v>
          </cell>
        </row>
        <row r="29">
          <cell r="A29" t="str">
            <v>September</v>
          </cell>
          <cell r="B29">
            <v>309200</v>
          </cell>
          <cell r="C29">
            <v>653.66666666666663</v>
          </cell>
        </row>
        <row r="30">
          <cell r="A30" t="str">
            <v>October</v>
          </cell>
          <cell r="B30">
            <v>254400</v>
          </cell>
          <cell r="C30">
            <v>552.33333333333337</v>
          </cell>
        </row>
        <row r="31">
          <cell r="A31" t="str">
            <v>November</v>
          </cell>
          <cell r="B31">
            <v>235200</v>
          </cell>
          <cell r="C31">
            <v>491.66666666666669</v>
          </cell>
        </row>
        <row r="32">
          <cell r="A32" t="str">
            <v>December</v>
          </cell>
          <cell r="B32">
            <v>258400</v>
          </cell>
          <cell r="C32">
            <v>461.66666666666669</v>
          </cell>
        </row>
      </sheetData>
      <sheetData sheetId="2">
        <row r="6">
          <cell r="A6" t="str">
            <v>January</v>
          </cell>
          <cell r="B6">
            <v>659</v>
          </cell>
          <cell r="G6">
            <v>731.2</v>
          </cell>
          <cell r="L6">
            <v>755.9</v>
          </cell>
        </row>
        <row r="7">
          <cell r="A7" t="str">
            <v>February</v>
          </cell>
          <cell r="B7">
            <v>583.9</v>
          </cell>
          <cell r="G7">
            <v>624.20000000000005</v>
          </cell>
          <cell r="L7">
            <v>770.4</v>
          </cell>
        </row>
        <row r="8">
          <cell r="A8" t="str">
            <v>March</v>
          </cell>
          <cell r="B8">
            <v>589.6</v>
          </cell>
          <cell r="G8">
            <v>496</v>
          </cell>
          <cell r="L8">
            <v>541.29999999999995</v>
          </cell>
        </row>
        <row r="9">
          <cell r="A9" t="str">
            <v>April</v>
          </cell>
          <cell r="B9">
            <v>177</v>
          </cell>
          <cell r="G9">
            <v>103.9</v>
          </cell>
          <cell r="L9">
            <v>318.39999999999998</v>
          </cell>
        </row>
        <row r="10">
          <cell r="A10" t="str">
            <v>(April part2)</v>
          </cell>
          <cell r="B10">
            <v>152.19999999999999</v>
          </cell>
          <cell r="G10"/>
          <cell r="L10"/>
        </row>
        <row r="11">
          <cell r="A11" t="str">
            <v>May</v>
          </cell>
          <cell r="B11">
            <v>85.3</v>
          </cell>
          <cell r="G11">
            <v>7.1</v>
          </cell>
          <cell r="L11">
            <v>192.7</v>
          </cell>
        </row>
        <row r="12">
          <cell r="A12" t="str">
            <v>June</v>
          </cell>
          <cell r="B12">
            <v>69.8</v>
          </cell>
          <cell r="G12">
            <v>1.2</v>
          </cell>
          <cell r="L12">
            <v>53.9</v>
          </cell>
        </row>
        <row r="13">
          <cell r="A13" t="str">
            <v>July</v>
          </cell>
          <cell r="B13">
            <v>19.399999999999999</v>
          </cell>
          <cell r="G13">
            <v>2.4</v>
          </cell>
          <cell r="L13">
            <v>1.2</v>
          </cell>
        </row>
        <row r="14">
          <cell r="A14" t="str">
            <v>August</v>
          </cell>
          <cell r="B14">
            <v>1.2</v>
          </cell>
          <cell r="G14">
            <v>1.2</v>
          </cell>
          <cell r="L14">
            <v>1.2</v>
          </cell>
        </row>
        <row r="15">
          <cell r="A15" t="str">
            <v>September</v>
          </cell>
          <cell r="B15">
            <v>1.2</v>
          </cell>
          <cell r="G15">
            <v>1.2</v>
          </cell>
          <cell r="L15">
            <v>2.4</v>
          </cell>
        </row>
        <row r="16">
          <cell r="A16" t="str">
            <v>October</v>
          </cell>
          <cell r="B16">
            <v>254.1</v>
          </cell>
          <cell r="G16">
            <v>14.4</v>
          </cell>
          <cell r="L16">
            <v>15.4</v>
          </cell>
        </row>
        <row r="17">
          <cell r="A17" t="str">
            <v>November</v>
          </cell>
          <cell r="B17">
            <v>178.9</v>
          </cell>
          <cell r="G17">
            <v>202.5</v>
          </cell>
          <cell r="L17">
            <v>313.10000000000002</v>
          </cell>
        </row>
        <row r="18">
          <cell r="A18" t="str">
            <v>(nov part 2)</v>
          </cell>
          <cell r="G18">
            <v>374.8</v>
          </cell>
          <cell r="L18">
            <v>164.9</v>
          </cell>
        </row>
        <row r="19">
          <cell r="A19" t="str">
            <v>December</v>
          </cell>
          <cell r="G19">
            <v>718.2</v>
          </cell>
          <cell r="L19">
            <v>597.5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M Summary"/>
      <sheetName val="EEM #1 Replace Warehse LTG"/>
      <sheetName val="EEM #2 Replace Retail LTG  "/>
      <sheetName val="EEN #1 and #2 combined"/>
      <sheetName val="EEM #2  Occupancy Sensors"/>
      <sheetName val="EEM  #3 DCV"/>
      <sheetName val="EEM #4  Economizer"/>
      <sheetName val="Reduced OA Heating Calc"/>
      <sheetName val="Reduced OA Cooling Calc  )"/>
      <sheetName val="EEM Occupancy Sensors Server 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leiny@oregonstate.ed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marinellos@lanecc.edu" TargetMode="External"/><Relationship Id="rId1" Type="http://schemas.openxmlformats.org/officeDocument/2006/relationships/hyperlink" Target="mailto:marinellos@lanecc.edu" TargetMode="External"/><Relationship Id="rId6" Type="http://schemas.openxmlformats.org/officeDocument/2006/relationships/hyperlink" Target="mailto:Paul.Walklsinger@Co.Benton.OR.US" TargetMode="External"/><Relationship Id="rId5" Type="http://schemas.openxmlformats.org/officeDocument/2006/relationships/hyperlink" Target="mailto:jennifer.brown@co.benton.or.us" TargetMode="External"/><Relationship Id="rId4" Type="http://schemas.openxmlformats.org/officeDocument/2006/relationships/hyperlink" Target="mailto:kleiny@oregonstate.ed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A88B9-434A-45C7-8A2D-6C18E9ED4F22}">
  <dimension ref="D3:S28"/>
  <sheetViews>
    <sheetView showGridLines="0" workbookViewId="0">
      <selection activeCell="E6" sqref="E6:K23"/>
    </sheetView>
  </sheetViews>
  <sheetFormatPr defaultRowHeight="14.4" x14ac:dyDescent="0.3"/>
  <cols>
    <col min="1" max="4" width="8.88671875" style="57"/>
    <col min="5" max="5" width="28" style="57" customWidth="1"/>
    <col min="6" max="6" width="15.6640625" style="57" customWidth="1"/>
    <col min="7" max="12" width="8.88671875" style="57"/>
    <col min="13" max="13" width="17.6640625" style="57" customWidth="1"/>
    <col min="14" max="16384" width="8.88671875" style="57"/>
  </cols>
  <sheetData>
    <row r="3" spans="4:19" ht="18" x14ac:dyDescent="0.35"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2"/>
    </row>
    <row r="4" spans="4:19" ht="18" x14ac:dyDescent="0.35">
      <c r="D4" s="133"/>
      <c r="E4" s="133" t="s">
        <v>107</v>
      </c>
      <c r="F4" s="133"/>
      <c r="G4" s="133"/>
      <c r="H4" s="133"/>
      <c r="I4" s="133"/>
      <c r="J4" s="133"/>
      <c r="K4" s="133"/>
      <c r="L4" s="133"/>
      <c r="M4" s="133" t="s">
        <v>108</v>
      </c>
      <c r="N4" s="133"/>
      <c r="O4" s="133"/>
      <c r="P4" s="132"/>
    </row>
    <row r="5" spans="4:19" ht="25.5" customHeight="1" x14ac:dyDescent="0.3"/>
    <row r="6" spans="4:19" ht="23.25" customHeight="1" x14ac:dyDescent="0.3">
      <c r="E6" s="95" t="s">
        <v>61</v>
      </c>
      <c r="F6" s="96"/>
      <c r="G6" s="96"/>
      <c r="H6" s="96"/>
      <c r="I6" s="96"/>
      <c r="J6" s="96"/>
      <c r="K6" s="97"/>
      <c r="M6" s="95" t="s">
        <v>61</v>
      </c>
      <c r="N6" s="96"/>
      <c r="O6" s="96"/>
      <c r="P6" s="96"/>
      <c r="Q6" s="96"/>
      <c r="R6" s="96"/>
      <c r="S6" s="97"/>
    </row>
    <row r="7" spans="4:19" ht="21" customHeight="1" x14ac:dyDescent="0.3">
      <c r="E7" s="98" t="s">
        <v>62</v>
      </c>
      <c r="F7" s="99"/>
      <c r="G7" s="100"/>
      <c r="H7" s="100"/>
      <c r="I7" s="100"/>
      <c r="J7" s="100"/>
      <c r="K7" s="101"/>
      <c r="M7" s="98" t="s">
        <v>62</v>
      </c>
      <c r="N7" s="130" t="s">
        <v>99</v>
      </c>
      <c r="O7" s="100"/>
      <c r="P7" s="100"/>
      <c r="Q7" s="100"/>
      <c r="R7" s="100"/>
      <c r="S7" s="101"/>
    </row>
    <row r="8" spans="4:19" ht="18.75" customHeight="1" x14ac:dyDescent="0.3">
      <c r="E8" s="98" t="s">
        <v>63</v>
      </c>
      <c r="F8" s="99"/>
      <c r="G8" s="100"/>
      <c r="H8" s="100"/>
      <c r="I8" s="100"/>
      <c r="J8" s="100"/>
      <c r="K8" s="101"/>
      <c r="M8" s="98" t="s">
        <v>63</v>
      </c>
      <c r="N8" s="130" t="s">
        <v>102</v>
      </c>
      <c r="O8" s="100"/>
      <c r="P8" s="100"/>
      <c r="Q8" s="100"/>
      <c r="R8" s="100"/>
      <c r="S8" s="101"/>
    </row>
    <row r="9" spans="4:19" ht="19.5" customHeight="1" x14ac:dyDescent="0.3">
      <c r="E9" s="98" t="s">
        <v>64</v>
      </c>
      <c r="F9" s="99"/>
      <c r="G9" s="100"/>
      <c r="H9" s="100"/>
      <c r="I9" s="100"/>
      <c r="J9" s="100"/>
      <c r="K9" s="101"/>
      <c r="M9" s="98" t="s">
        <v>64</v>
      </c>
      <c r="N9" s="130" t="s">
        <v>100</v>
      </c>
      <c r="O9" s="100"/>
      <c r="P9" s="100"/>
      <c r="Q9" s="100"/>
      <c r="R9" s="100"/>
      <c r="S9" s="101"/>
    </row>
    <row r="10" spans="4:19" ht="21" customHeight="1" x14ac:dyDescent="0.3">
      <c r="E10" s="98" t="s">
        <v>65</v>
      </c>
      <c r="F10" s="102"/>
      <c r="G10" s="100"/>
      <c r="H10" s="100"/>
      <c r="I10" s="100"/>
      <c r="J10" s="100"/>
      <c r="K10" s="101"/>
      <c r="M10" s="98" t="s">
        <v>65</v>
      </c>
      <c r="N10" s="102" t="s">
        <v>101</v>
      </c>
      <c r="O10" s="100"/>
      <c r="P10" s="100"/>
      <c r="Q10" s="100"/>
      <c r="R10" s="100"/>
      <c r="S10" s="101"/>
    </row>
    <row r="11" spans="4:19" ht="18" x14ac:dyDescent="0.35">
      <c r="E11" s="103" t="s">
        <v>66</v>
      </c>
      <c r="F11" s="104"/>
      <c r="G11" s="104"/>
      <c r="H11" s="104"/>
      <c r="I11" s="104"/>
      <c r="J11" s="104"/>
      <c r="K11" s="105"/>
      <c r="M11" s="95" t="s">
        <v>61</v>
      </c>
      <c r="N11" s="96"/>
      <c r="O11" s="96"/>
      <c r="P11" s="96"/>
      <c r="Q11" s="96"/>
      <c r="R11" s="96"/>
      <c r="S11" s="97"/>
    </row>
    <row r="12" spans="4:19" ht="18.75" customHeight="1" x14ac:dyDescent="0.3">
      <c r="E12" s="98" t="s">
        <v>62</v>
      </c>
      <c r="F12" s="99" t="s">
        <v>67</v>
      </c>
      <c r="G12" s="100"/>
      <c r="H12" s="100"/>
      <c r="I12" s="100"/>
      <c r="J12" s="100"/>
      <c r="K12" s="101"/>
      <c r="M12" s="98" t="s">
        <v>62</v>
      </c>
      <c r="N12" s="130" t="s">
        <v>103</v>
      </c>
      <c r="O12" s="100"/>
      <c r="P12" s="100"/>
      <c r="Q12" s="100"/>
      <c r="R12" s="100"/>
      <c r="S12" s="101"/>
    </row>
    <row r="13" spans="4:19" ht="18.75" customHeight="1" x14ac:dyDescent="0.3">
      <c r="E13" s="98" t="s">
        <v>63</v>
      </c>
      <c r="F13" s="99" t="s">
        <v>68</v>
      </c>
      <c r="G13" s="100"/>
      <c r="H13" s="100"/>
      <c r="I13" s="100"/>
      <c r="J13" s="100"/>
      <c r="K13" s="101"/>
      <c r="M13" s="98" t="s">
        <v>63</v>
      </c>
      <c r="N13" s="130" t="s">
        <v>104</v>
      </c>
      <c r="O13" s="100"/>
      <c r="P13" s="100"/>
      <c r="Q13" s="100"/>
      <c r="R13" s="100"/>
      <c r="S13" s="101"/>
    </row>
    <row r="14" spans="4:19" ht="18.75" customHeight="1" x14ac:dyDescent="0.3">
      <c r="E14" s="98" t="s">
        <v>69</v>
      </c>
      <c r="F14" s="99" t="s">
        <v>70</v>
      </c>
      <c r="G14" s="100"/>
      <c r="H14" s="100"/>
      <c r="I14" s="100"/>
      <c r="J14" s="100"/>
      <c r="K14" s="101"/>
      <c r="M14" s="98" t="s">
        <v>64</v>
      </c>
      <c r="N14" s="130" t="s">
        <v>106</v>
      </c>
      <c r="O14" s="100"/>
      <c r="P14" s="100"/>
      <c r="Q14" s="100"/>
      <c r="R14" s="100"/>
      <c r="S14" s="101"/>
    </row>
    <row r="15" spans="4:19" ht="18.75" customHeight="1" x14ac:dyDescent="0.3">
      <c r="E15" s="98" t="s">
        <v>65</v>
      </c>
      <c r="F15" s="102" t="s">
        <v>71</v>
      </c>
      <c r="G15" s="100"/>
      <c r="H15" s="100"/>
      <c r="I15" s="100"/>
      <c r="J15" s="100"/>
      <c r="K15" s="101"/>
      <c r="M15" s="98" t="s">
        <v>65</v>
      </c>
      <c r="N15" s="102" t="s">
        <v>105</v>
      </c>
      <c r="O15" s="100"/>
      <c r="P15" s="100"/>
      <c r="Q15" s="100"/>
      <c r="R15" s="100"/>
      <c r="S15" s="101"/>
    </row>
    <row r="16" spans="4:19" ht="18" x14ac:dyDescent="0.35">
      <c r="E16" s="103" t="s">
        <v>66</v>
      </c>
      <c r="F16" s="104"/>
      <c r="G16" s="104"/>
      <c r="H16" s="104"/>
      <c r="I16" s="104"/>
      <c r="J16" s="104"/>
      <c r="K16" s="105"/>
      <c r="M16" s="103" t="s">
        <v>66</v>
      </c>
      <c r="N16" s="104"/>
      <c r="O16" s="104"/>
      <c r="P16" s="104"/>
      <c r="Q16" s="104"/>
      <c r="R16" s="104"/>
      <c r="S16" s="105"/>
    </row>
    <row r="17" spans="5:19" ht="18.75" customHeight="1" x14ac:dyDescent="0.3">
      <c r="E17" s="106" t="s">
        <v>62</v>
      </c>
      <c r="F17" s="107" t="s">
        <v>72</v>
      </c>
      <c r="G17" s="108"/>
      <c r="H17" s="108"/>
      <c r="I17" s="108"/>
      <c r="J17" s="108"/>
      <c r="K17" s="109"/>
      <c r="M17" s="98" t="s">
        <v>62</v>
      </c>
      <c r="N17" s="99" t="s">
        <v>67</v>
      </c>
      <c r="O17" s="100"/>
      <c r="P17" s="100"/>
      <c r="Q17" s="100"/>
      <c r="R17" s="100"/>
      <c r="S17" s="101"/>
    </row>
    <row r="18" spans="5:19" ht="18.75" customHeight="1" x14ac:dyDescent="0.3">
      <c r="E18" s="106" t="s">
        <v>63</v>
      </c>
      <c r="F18" s="107" t="s">
        <v>73</v>
      </c>
      <c r="G18" s="108"/>
      <c r="H18" s="108"/>
      <c r="I18" s="108"/>
      <c r="J18" s="108"/>
      <c r="K18" s="109"/>
      <c r="M18" s="98" t="s">
        <v>63</v>
      </c>
      <c r="N18" s="99" t="s">
        <v>68</v>
      </c>
      <c r="O18" s="100"/>
      <c r="P18" s="100"/>
      <c r="Q18" s="100"/>
      <c r="R18" s="100"/>
      <c r="S18" s="101"/>
    </row>
    <row r="19" spans="5:19" ht="18.75" customHeight="1" x14ac:dyDescent="0.3">
      <c r="E19" s="106" t="s">
        <v>65</v>
      </c>
      <c r="F19" s="107" t="s">
        <v>74</v>
      </c>
      <c r="G19" s="108"/>
      <c r="H19" s="108"/>
      <c r="I19" s="108"/>
      <c r="J19" s="108"/>
      <c r="K19" s="109"/>
      <c r="M19" s="98" t="s">
        <v>69</v>
      </c>
      <c r="N19" s="99" t="s">
        <v>70</v>
      </c>
      <c r="O19" s="100"/>
      <c r="P19" s="100"/>
      <c r="Q19" s="100"/>
      <c r="R19" s="100"/>
      <c r="S19" s="101"/>
    </row>
    <row r="20" spans="5:19" ht="18" x14ac:dyDescent="0.35">
      <c r="E20" s="103" t="s">
        <v>66</v>
      </c>
      <c r="F20" s="104"/>
      <c r="G20" s="104"/>
      <c r="H20" s="104"/>
      <c r="I20" s="104"/>
      <c r="J20" s="104"/>
      <c r="K20" s="105"/>
      <c r="M20" s="98" t="s">
        <v>65</v>
      </c>
      <c r="N20" s="102" t="s">
        <v>71</v>
      </c>
      <c r="O20" s="100"/>
      <c r="P20" s="100"/>
      <c r="Q20" s="100"/>
      <c r="R20" s="100"/>
      <c r="S20" s="101"/>
    </row>
    <row r="21" spans="5:19" ht="18" x14ac:dyDescent="0.35">
      <c r="E21" s="106" t="s">
        <v>62</v>
      </c>
      <c r="F21" s="107" t="s">
        <v>75</v>
      </c>
      <c r="G21" s="108"/>
      <c r="H21" s="108"/>
      <c r="I21" s="108"/>
      <c r="J21" s="108"/>
      <c r="K21" s="109"/>
      <c r="M21" s="103" t="s">
        <v>66</v>
      </c>
      <c r="N21" s="104"/>
      <c r="O21" s="104"/>
      <c r="P21" s="104"/>
      <c r="Q21" s="104"/>
      <c r="R21" s="104"/>
      <c r="S21" s="105"/>
    </row>
    <row r="22" spans="5:19" x14ac:dyDescent="0.3">
      <c r="E22" s="106" t="s">
        <v>63</v>
      </c>
      <c r="F22" s="107" t="s">
        <v>76</v>
      </c>
      <c r="G22" s="108"/>
      <c r="H22" s="108"/>
      <c r="I22" s="108"/>
      <c r="J22" s="108"/>
      <c r="K22" s="109"/>
      <c r="M22" s="106" t="s">
        <v>62</v>
      </c>
      <c r="N22" s="107" t="s">
        <v>72</v>
      </c>
      <c r="O22" s="108"/>
      <c r="P22" s="108"/>
      <c r="Q22" s="108"/>
      <c r="R22" s="108"/>
      <c r="S22" s="109"/>
    </row>
    <row r="23" spans="5:19" x14ac:dyDescent="0.3">
      <c r="E23" s="106" t="s">
        <v>65</v>
      </c>
      <c r="F23" s="110" t="s">
        <v>77</v>
      </c>
      <c r="G23" s="108"/>
      <c r="H23" s="108"/>
      <c r="I23" s="108"/>
      <c r="J23" s="108"/>
      <c r="K23" s="109"/>
      <c r="M23" s="106" t="s">
        <v>63</v>
      </c>
      <c r="N23" s="272" t="s">
        <v>76</v>
      </c>
      <c r="O23" s="108"/>
      <c r="P23" s="108"/>
      <c r="Q23" s="108"/>
      <c r="R23" s="108"/>
      <c r="S23" s="109"/>
    </row>
    <row r="24" spans="5:19" x14ac:dyDescent="0.3">
      <c r="M24" s="106" t="s">
        <v>65</v>
      </c>
      <c r="N24" s="107" t="s">
        <v>74</v>
      </c>
      <c r="O24" s="108"/>
      <c r="P24" s="108"/>
      <c r="Q24" s="108"/>
      <c r="R24" s="108"/>
      <c r="S24" s="109"/>
    </row>
    <row r="25" spans="5:19" ht="18" x14ac:dyDescent="0.35">
      <c r="M25" s="103" t="s">
        <v>66</v>
      </c>
      <c r="N25" s="104"/>
      <c r="O25" s="104"/>
      <c r="P25" s="104"/>
      <c r="Q25" s="104"/>
      <c r="R25" s="104"/>
      <c r="S25" s="105"/>
    </row>
    <row r="26" spans="5:19" x14ac:dyDescent="0.3">
      <c r="M26" s="106" t="s">
        <v>62</v>
      </c>
      <c r="N26" s="107" t="s">
        <v>75</v>
      </c>
      <c r="O26" s="108"/>
      <c r="P26" s="108"/>
      <c r="Q26" s="108"/>
      <c r="R26" s="108"/>
      <c r="S26" s="109"/>
    </row>
    <row r="27" spans="5:19" x14ac:dyDescent="0.3">
      <c r="M27" s="106" t="s">
        <v>63</v>
      </c>
      <c r="N27" s="107" t="s">
        <v>76</v>
      </c>
      <c r="O27" s="108"/>
      <c r="P27" s="108"/>
      <c r="Q27" s="108"/>
      <c r="R27" s="108"/>
      <c r="S27" s="109"/>
    </row>
    <row r="28" spans="5:19" x14ac:dyDescent="0.3">
      <c r="M28" s="106" t="s">
        <v>65</v>
      </c>
      <c r="N28" s="110" t="s">
        <v>77</v>
      </c>
      <c r="O28" s="108"/>
      <c r="P28" s="108"/>
      <c r="Q28" s="108"/>
      <c r="R28" s="108"/>
      <c r="S28" s="109"/>
    </row>
  </sheetData>
  <hyperlinks>
    <hyperlink ref="F15" r:id="rId1" xr:uid="{6927012D-57EA-4858-B32F-8BAD4301DD51}"/>
    <hyperlink ref="N20" r:id="rId2" xr:uid="{9E3DF185-1181-484B-B83D-116CF51BBE8B}"/>
    <hyperlink ref="F23" r:id="rId3" xr:uid="{44B1C50B-DD7B-4368-AA1B-5442EE55930D}"/>
    <hyperlink ref="N28" r:id="rId4" xr:uid="{00B9F9D7-0CF7-4ED5-9424-207C358606D3}"/>
    <hyperlink ref="N10" r:id="rId5" xr:uid="{1DCCC9FB-2C03-4DF8-81CB-DB3A3E5A080E}"/>
    <hyperlink ref="N15" r:id="rId6" xr:uid="{73E201A5-39DE-4CCD-9187-1017D5B96147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77855-6236-491E-9032-203900A20DF6}">
  <sheetPr>
    <outlinePr summaryBelow="0" summaryRight="0"/>
  </sheetPr>
  <dimension ref="A1:T32"/>
  <sheetViews>
    <sheetView showGridLines="0" topLeftCell="B1" workbookViewId="0">
      <selection activeCell="L3" sqref="L3:T32"/>
    </sheetView>
  </sheetViews>
  <sheetFormatPr defaultColWidth="12.5546875" defaultRowHeight="15.75" customHeight="1" x14ac:dyDescent="0.3"/>
  <cols>
    <col min="1" max="10" width="12.5546875" style="128"/>
    <col min="11" max="11" width="7.109375" style="128" customWidth="1"/>
    <col min="12" max="12" width="32.88671875" style="128" customWidth="1"/>
    <col min="13" max="13" width="13.88671875" style="128" customWidth="1"/>
    <col min="14" max="17" width="12.5546875" style="128"/>
    <col min="18" max="18" width="14.109375" style="128" bestFit="1" customWidth="1"/>
    <col min="19" max="16384" width="12.5546875" style="128"/>
  </cols>
  <sheetData>
    <row r="1" spans="1:20" ht="25.2" customHeight="1" x14ac:dyDescent="0.45">
      <c r="A1" s="305" t="s">
        <v>163</v>
      </c>
      <c r="B1" s="306"/>
      <c r="C1" s="306"/>
      <c r="D1" s="306"/>
      <c r="E1" s="306"/>
      <c r="F1" s="306"/>
      <c r="L1" s="264" t="s">
        <v>192</v>
      </c>
    </row>
    <row r="2" spans="1:20" ht="15.75" customHeight="1" thickBot="1" x14ac:dyDescent="0.35"/>
    <row r="3" spans="1:20" ht="15.75" customHeight="1" x14ac:dyDescent="0.3">
      <c r="B3" s="176"/>
      <c r="C3" s="307" t="s">
        <v>164</v>
      </c>
      <c r="D3" s="308"/>
      <c r="E3" s="177" t="s">
        <v>165</v>
      </c>
      <c r="G3" s="176"/>
      <c r="H3" s="177" t="s">
        <v>164</v>
      </c>
      <c r="I3" s="177" t="s">
        <v>165</v>
      </c>
      <c r="J3" s="178"/>
      <c r="L3" s="179"/>
      <c r="M3" s="180"/>
      <c r="N3" s="181" t="s">
        <v>166</v>
      </c>
      <c r="O3" s="181"/>
      <c r="P3" s="182"/>
      <c r="Q3" s="183"/>
      <c r="R3" s="309" t="s">
        <v>167</v>
      </c>
      <c r="S3" s="310"/>
      <c r="T3" s="311"/>
    </row>
    <row r="4" spans="1:20" ht="15.75" customHeight="1" x14ac:dyDescent="0.3">
      <c r="B4" s="176"/>
      <c r="C4" s="177" t="s">
        <v>6</v>
      </c>
      <c r="D4" s="177" t="s">
        <v>8</v>
      </c>
      <c r="E4" s="177" t="s">
        <v>27</v>
      </c>
      <c r="G4" s="176"/>
      <c r="H4" s="307" t="s">
        <v>168</v>
      </c>
      <c r="I4" s="308"/>
      <c r="L4" s="184" t="s">
        <v>80</v>
      </c>
      <c r="M4" s="185">
        <v>2019</v>
      </c>
      <c r="N4" s="186">
        <v>2020</v>
      </c>
      <c r="O4" s="187">
        <v>2021</v>
      </c>
      <c r="P4" s="188" t="s">
        <v>169</v>
      </c>
      <c r="Q4" s="186">
        <v>2019</v>
      </c>
      <c r="R4" s="186">
        <v>2020</v>
      </c>
      <c r="S4" s="188">
        <v>2021</v>
      </c>
      <c r="T4" s="189" t="s">
        <v>170</v>
      </c>
    </row>
    <row r="5" spans="1:20" ht="15.75" customHeight="1" x14ac:dyDescent="0.3">
      <c r="B5" s="176" t="s">
        <v>98</v>
      </c>
      <c r="C5" s="190">
        <f>P5</f>
        <v>0</v>
      </c>
      <c r="D5" s="191"/>
      <c r="E5" s="192">
        <f>T5</f>
        <v>0</v>
      </c>
      <c r="G5" s="176" t="s">
        <v>98</v>
      </c>
      <c r="H5" s="190">
        <f>C5*3412.14/1000</f>
        <v>0</v>
      </c>
      <c r="I5" s="190">
        <f t="shared" ref="I5:I16" si="0">E5*100</f>
        <v>0</v>
      </c>
      <c r="L5" s="193" t="s">
        <v>98</v>
      </c>
      <c r="M5" s="194"/>
      <c r="N5" s="194"/>
      <c r="O5" s="194"/>
      <c r="P5" s="195">
        <f>(M5+N5+O5)/3</f>
        <v>0</v>
      </c>
      <c r="Q5" s="196"/>
      <c r="R5" s="196"/>
      <c r="S5" s="197"/>
      <c r="T5" s="198">
        <f>(Q5+R5+S5)/3</f>
        <v>0</v>
      </c>
    </row>
    <row r="6" spans="1:20" ht="15.75" customHeight="1" x14ac:dyDescent="0.3">
      <c r="B6" s="176" t="s">
        <v>97</v>
      </c>
      <c r="C6" s="190">
        <f>P6</f>
        <v>0</v>
      </c>
      <c r="D6" s="191"/>
      <c r="E6" s="192">
        <f t="shared" ref="E6:E16" si="1">T6</f>
        <v>0</v>
      </c>
      <c r="G6" s="176" t="s">
        <v>97</v>
      </c>
      <c r="H6" s="190">
        <f t="shared" ref="H6:H16" si="2">C6*3412.14/1000</f>
        <v>0</v>
      </c>
      <c r="I6" s="190">
        <f t="shared" si="0"/>
        <v>0</v>
      </c>
      <c r="L6" s="199" t="s">
        <v>97</v>
      </c>
      <c r="M6" s="194"/>
      <c r="N6" s="194"/>
      <c r="O6" s="194"/>
      <c r="P6" s="195">
        <f t="shared" ref="P6:P16" si="3">(M6+N6+O6)/3</f>
        <v>0</v>
      </c>
      <c r="Q6" s="196"/>
      <c r="R6" s="196"/>
      <c r="S6" s="197"/>
      <c r="T6" s="200">
        <f t="shared" ref="T6:T16" si="4">(Q6+R6+S6)/3</f>
        <v>0</v>
      </c>
    </row>
    <row r="7" spans="1:20" ht="15.75" customHeight="1" x14ac:dyDescent="0.3">
      <c r="B7" s="176" t="s">
        <v>96</v>
      </c>
      <c r="C7" s="190">
        <f>P7</f>
        <v>0</v>
      </c>
      <c r="D7" s="191"/>
      <c r="E7" s="192">
        <f t="shared" si="1"/>
        <v>0</v>
      </c>
      <c r="G7" s="176" t="s">
        <v>96</v>
      </c>
      <c r="H7" s="190">
        <f t="shared" si="2"/>
        <v>0</v>
      </c>
      <c r="I7" s="190">
        <f t="shared" si="0"/>
        <v>0</v>
      </c>
      <c r="L7" s="199" t="s">
        <v>96</v>
      </c>
      <c r="M7" s="194"/>
      <c r="N7" s="194"/>
      <c r="O7" s="194"/>
      <c r="P7" s="195">
        <f t="shared" si="3"/>
        <v>0</v>
      </c>
      <c r="Q7" s="196"/>
      <c r="R7" s="196"/>
      <c r="S7" s="197"/>
      <c r="T7" s="200">
        <f t="shared" si="4"/>
        <v>0</v>
      </c>
    </row>
    <row r="8" spans="1:20" ht="15.75" customHeight="1" x14ac:dyDescent="0.3">
      <c r="B8" s="176" t="s">
        <v>95</v>
      </c>
      <c r="C8" s="190">
        <f>P8</f>
        <v>0</v>
      </c>
      <c r="D8" s="191"/>
      <c r="E8" s="192">
        <f t="shared" si="1"/>
        <v>0</v>
      </c>
      <c r="G8" s="176" t="s">
        <v>95</v>
      </c>
      <c r="H8" s="190">
        <f t="shared" si="2"/>
        <v>0</v>
      </c>
      <c r="I8" s="190">
        <f t="shared" si="0"/>
        <v>0</v>
      </c>
      <c r="L8" s="199" t="s">
        <v>95</v>
      </c>
      <c r="M8" s="194"/>
      <c r="N8" s="194"/>
      <c r="O8" s="194"/>
      <c r="P8" s="195">
        <f t="shared" si="3"/>
        <v>0</v>
      </c>
      <c r="Q8" s="196"/>
      <c r="R8" s="196"/>
      <c r="S8" s="197"/>
      <c r="T8" s="200">
        <f t="shared" si="4"/>
        <v>0</v>
      </c>
    </row>
    <row r="9" spans="1:20" ht="15.75" customHeight="1" x14ac:dyDescent="0.3">
      <c r="B9" s="176" t="s">
        <v>84</v>
      </c>
      <c r="C9" s="190">
        <f t="shared" ref="C9:C16" si="5">P9</f>
        <v>0</v>
      </c>
      <c r="D9" s="191"/>
      <c r="E9" s="192">
        <f t="shared" si="1"/>
        <v>0</v>
      </c>
      <c r="G9" s="176" t="s">
        <v>84</v>
      </c>
      <c r="H9" s="190">
        <f t="shared" si="2"/>
        <v>0</v>
      </c>
      <c r="I9" s="190">
        <f t="shared" si="0"/>
        <v>0</v>
      </c>
      <c r="L9" s="199" t="s">
        <v>84</v>
      </c>
      <c r="M9" s="194"/>
      <c r="N9" s="194"/>
      <c r="O9" s="194"/>
      <c r="P9" s="195">
        <f t="shared" si="3"/>
        <v>0</v>
      </c>
      <c r="Q9" s="196"/>
      <c r="R9" s="196"/>
      <c r="S9" s="197"/>
      <c r="T9" s="200">
        <f t="shared" si="4"/>
        <v>0</v>
      </c>
    </row>
    <row r="10" spans="1:20" ht="15.75" customHeight="1" x14ac:dyDescent="0.3">
      <c r="B10" s="176" t="s">
        <v>94</v>
      </c>
      <c r="C10" s="190">
        <f t="shared" si="5"/>
        <v>0</v>
      </c>
      <c r="D10" s="191"/>
      <c r="E10" s="192">
        <f t="shared" si="1"/>
        <v>0</v>
      </c>
      <c r="G10" s="176" t="s">
        <v>94</v>
      </c>
      <c r="H10" s="190">
        <f t="shared" si="2"/>
        <v>0</v>
      </c>
      <c r="I10" s="190">
        <f t="shared" si="0"/>
        <v>0</v>
      </c>
      <c r="L10" s="199" t="s">
        <v>94</v>
      </c>
      <c r="M10" s="194"/>
      <c r="N10" s="194"/>
      <c r="O10" s="194"/>
      <c r="P10" s="195">
        <f t="shared" si="3"/>
        <v>0</v>
      </c>
      <c r="Q10" s="196"/>
      <c r="R10" s="196"/>
      <c r="S10" s="197"/>
      <c r="T10" s="200">
        <f t="shared" si="4"/>
        <v>0</v>
      </c>
    </row>
    <row r="11" spans="1:20" ht="15.75" customHeight="1" x14ac:dyDescent="0.3">
      <c r="B11" s="176" t="s">
        <v>93</v>
      </c>
      <c r="C11" s="190">
        <f t="shared" si="5"/>
        <v>0</v>
      </c>
      <c r="D11" s="191"/>
      <c r="E11" s="192">
        <f t="shared" si="1"/>
        <v>0</v>
      </c>
      <c r="G11" s="176" t="s">
        <v>93</v>
      </c>
      <c r="H11" s="190">
        <f t="shared" si="2"/>
        <v>0</v>
      </c>
      <c r="I11" s="190">
        <f t="shared" si="0"/>
        <v>0</v>
      </c>
      <c r="L11" s="199" t="s">
        <v>93</v>
      </c>
      <c r="M11" s="194"/>
      <c r="N11" s="194"/>
      <c r="O11" s="194"/>
      <c r="P11" s="195">
        <f t="shared" si="3"/>
        <v>0</v>
      </c>
      <c r="Q11" s="196"/>
      <c r="R11" s="196"/>
      <c r="S11" s="197"/>
      <c r="T11" s="200">
        <f t="shared" si="4"/>
        <v>0</v>
      </c>
    </row>
    <row r="12" spans="1:20" ht="15.75" customHeight="1" x14ac:dyDescent="0.3">
      <c r="B12" s="176" t="s">
        <v>92</v>
      </c>
      <c r="C12" s="190">
        <f t="shared" si="5"/>
        <v>0</v>
      </c>
      <c r="D12" s="191"/>
      <c r="E12" s="192">
        <f t="shared" si="1"/>
        <v>0</v>
      </c>
      <c r="G12" s="176" t="s">
        <v>92</v>
      </c>
      <c r="H12" s="190">
        <f t="shared" si="2"/>
        <v>0</v>
      </c>
      <c r="I12" s="190">
        <f t="shared" si="0"/>
        <v>0</v>
      </c>
      <c r="L12" s="199" t="s">
        <v>92</v>
      </c>
      <c r="M12" s="194"/>
      <c r="N12" s="201"/>
      <c r="O12" s="194"/>
      <c r="P12" s="195">
        <f t="shared" si="3"/>
        <v>0</v>
      </c>
      <c r="Q12" s="196"/>
      <c r="R12" s="196"/>
      <c r="S12" s="197"/>
      <c r="T12" s="200">
        <f t="shared" si="4"/>
        <v>0</v>
      </c>
    </row>
    <row r="13" spans="1:20" ht="15.75" customHeight="1" x14ac:dyDescent="0.3">
      <c r="B13" s="176" t="s">
        <v>91</v>
      </c>
      <c r="C13" s="190">
        <f t="shared" si="5"/>
        <v>0</v>
      </c>
      <c r="D13" s="191"/>
      <c r="E13" s="192">
        <f t="shared" si="1"/>
        <v>0</v>
      </c>
      <c r="G13" s="176" t="s">
        <v>91</v>
      </c>
      <c r="H13" s="190">
        <f t="shared" si="2"/>
        <v>0</v>
      </c>
      <c r="I13" s="190">
        <f t="shared" si="0"/>
        <v>0</v>
      </c>
      <c r="L13" s="199" t="s">
        <v>91</v>
      </c>
      <c r="M13" s="194"/>
      <c r="N13" s="194"/>
      <c r="O13" s="194"/>
      <c r="P13" s="195">
        <f t="shared" si="3"/>
        <v>0</v>
      </c>
      <c r="Q13" s="196"/>
      <c r="R13" s="196"/>
      <c r="S13" s="197"/>
      <c r="T13" s="200">
        <f t="shared" si="4"/>
        <v>0</v>
      </c>
    </row>
    <row r="14" spans="1:20" ht="15.75" customHeight="1" x14ac:dyDescent="0.3">
      <c r="B14" s="176" t="s">
        <v>90</v>
      </c>
      <c r="C14" s="190">
        <f t="shared" si="5"/>
        <v>0</v>
      </c>
      <c r="D14" s="191"/>
      <c r="E14" s="192">
        <f t="shared" si="1"/>
        <v>0</v>
      </c>
      <c r="G14" s="176" t="s">
        <v>90</v>
      </c>
      <c r="H14" s="190">
        <f t="shared" si="2"/>
        <v>0</v>
      </c>
      <c r="I14" s="190">
        <f t="shared" si="0"/>
        <v>0</v>
      </c>
      <c r="L14" s="199" t="s">
        <v>90</v>
      </c>
      <c r="M14" s="202"/>
      <c r="N14" s="202"/>
      <c r="O14" s="194"/>
      <c r="P14" s="195">
        <f t="shared" si="3"/>
        <v>0</v>
      </c>
      <c r="Q14" s="196"/>
      <c r="R14" s="196"/>
      <c r="S14" s="197"/>
      <c r="T14" s="200">
        <f t="shared" si="4"/>
        <v>0</v>
      </c>
    </row>
    <row r="15" spans="1:20" ht="15.75" customHeight="1" x14ac:dyDescent="0.3">
      <c r="B15" s="176" t="s">
        <v>89</v>
      </c>
      <c r="C15" s="190">
        <f t="shared" si="5"/>
        <v>0</v>
      </c>
      <c r="D15" s="191"/>
      <c r="E15" s="192">
        <f t="shared" si="1"/>
        <v>0</v>
      </c>
      <c r="G15" s="176" t="s">
        <v>89</v>
      </c>
      <c r="H15" s="190">
        <f t="shared" si="2"/>
        <v>0</v>
      </c>
      <c r="I15" s="190">
        <f t="shared" si="0"/>
        <v>0</v>
      </c>
      <c r="L15" s="199" t="s">
        <v>89</v>
      </c>
      <c r="M15" s="194"/>
      <c r="N15" s="202"/>
      <c r="O15" s="203"/>
      <c r="P15" s="195">
        <f t="shared" si="3"/>
        <v>0</v>
      </c>
      <c r="Q15" s="196"/>
      <c r="R15" s="196"/>
      <c r="S15" s="197"/>
      <c r="T15" s="200">
        <f t="shared" si="4"/>
        <v>0</v>
      </c>
    </row>
    <row r="16" spans="1:20" ht="15.75" customHeight="1" x14ac:dyDescent="0.3">
      <c r="B16" s="176" t="s">
        <v>88</v>
      </c>
      <c r="C16" s="190">
        <f t="shared" si="5"/>
        <v>0</v>
      </c>
      <c r="D16" s="191"/>
      <c r="E16" s="192">
        <f t="shared" si="1"/>
        <v>0</v>
      </c>
      <c r="G16" s="204" t="s">
        <v>88</v>
      </c>
      <c r="H16" s="205">
        <f t="shared" si="2"/>
        <v>0</v>
      </c>
      <c r="I16" s="190">
        <f t="shared" si="0"/>
        <v>0</v>
      </c>
      <c r="L16" s="206" t="s">
        <v>88</v>
      </c>
      <c r="M16" s="207"/>
      <c r="N16" s="202"/>
      <c r="O16" s="208"/>
      <c r="P16" s="209">
        <f t="shared" si="3"/>
        <v>0</v>
      </c>
      <c r="Q16" s="210"/>
      <c r="R16" s="211"/>
      <c r="S16" s="212"/>
      <c r="T16" s="213">
        <f t="shared" si="4"/>
        <v>0</v>
      </c>
    </row>
    <row r="17" spans="1:20" ht="15.75" customHeight="1" x14ac:dyDescent="0.3">
      <c r="G17" s="214"/>
      <c r="H17" s="215"/>
      <c r="L17" s="216" t="s">
        <v>171</v>
      </c>
      <c r="M17" s="217"/>
      <c r="N17" s="217"/>
      <c r="O17" s="217"/>
      <c r="P17" s="217"/>
      <c r="Q17" s="217"/>
      <c r="R17" s="217"/>
      <c r="S17" s="218"/>
      <c r="T17" s="219"/>
    </row>
    <row r="18" spans="1:20" ht="15.75" customHeight="1" x14ac:dyDescent="0.3">
      <c r="G18" s="220" t="s">
        <v>172</v>
      </c>
      <c r="H18" s="221">
        <f>SUM(H5:I16)</f>
        <v>0</v>
      </c>
      <c r="L18" s="222" t="s">
        <v>173</v>
      </c>
      <c r="M18" s="223"/>
      <c r="N18" s="223"/>
      <c r="O18" s="223"/>
      <c r="P18" s="224">
        <f>SUM(P5:P16)</f>
        <v>0</v>
      </c>
      <c r="Q18" s="223" t="s">
        <v>5</v>
      </c>
      <c r="R18" s="223" t="s">
        <v>5</v>
      </c>
      <c r="S18" s="225" t="s">
        <v>5</v>
      </c>
      <c r="T18" s="226" t="s">
        <v>5</v>
      </c>
    </row>
    <row r="19" spans="1:20" ht="15.75" customHeight="1" x14ac:dyDescent="0.3">
      <c r="G19" s="176" t="s">
        <v>174</v>
      </c>
      <c r="H19" s="176">
        <v>124000</v>
      </c>
      <c r="L19" s="227" t="s">
        <v>175</v>
      </c>
      <c r="M19" s="228"/>
      <c r="N19" s="229"/>
      <c r="O19" s="229"/>
      <c r="P19" s="230"/>
      <c r="Q19" s="231">
        <f>(Q6+Q7+Q8+Q9+Q10+Q11+Q12+Q13+Q14+Q15+Q16+Q17)</f>
        <v>0</v>
      </c>
      <c r="R19" s="231">
        <f>R6+R7+R8+R9+R10+R11+R12+R13+R14+R15+R16+R17</f>
        <v>0</v>
      </c>
      <c r="S19" s="232">
        <f>(S6+S7+S8+S9+S10+S11+S12+S13+S14+S15+S16+S17)</f>
        <v>0</v>
      </c>
      <c r="T19" s="233">
        <f>(T6+T7+T8+T9+T10+T11+T12+T13+T14+T15+T16+T17)</f>
        <v>0</v>
      </c>
    </row>
    <row r="20" spans="1:20" ht="15.75" customHeight="1" x14ac:dyDescent="0.3">
      <c r="G20" s="176" t="s">
        <v>176</v>
      </c>
      <c r="H20" s="192">
        <f>H18/H19</f>
        <v>0</v>
      </c>
      <c r="L20" s="234" t="s">
        <v>177</v>
      </c>
      <c r="M20" s="235">
        <f>M18*3414/1000</f>
        <v>0</v>
      </c>
      <c r="N20" s="235">
        <f>N18*3414/1000</f>
        <v>0</v>
      </c>
      <c r="O20" s="235">
        <f>O18*3414/1000</f>
        <v>0</v>
      </c>
      <c r="P20" s="235">
        <f>P18*3414/1000</f>
        <v>0</v>
      </c>
      <c r="Q20" s="236"/>
      <c r="R20" s="236"/>
      <c r="S20" s="236"/>
      <c r="T20" s="237"/>
    </row>
    <row r="21" spans="1:20" ht="15.75" customHeight="1" x14ac:dyDescent="0.3">
      <c r="G21" s="176" t="s">
        <v>178</v>
      </c>
      <c r="H21" s="176">
        <v>65.7</v>
      </c>
      <c r="L21" s="227" t="s">
        <v>179</v>
      </c>
      <c r="M21" s="238">
        <f>Q19*100000/1000</f>
        <v>0</v>
      </c>
      <c r="N21" s="238">
        <f>R19*100000/1000</f>
        <v>0</v>
      </c>
      <c r="O21" s="238">
        <f>S19*100000/1000</f>
        <v>0</v>
      </c>
      <c r="P21" s="238">
        <f>T19*100000/1000</f>
        <v>0</v>
      </c>
      <c r="Q21" s="236"/>
      <c r="R21" s="236"/>
      <c r="S21" s="236"/>
      <c r="T21" s="239"/>
    </row>
    <row r="22" spans="1:20" ht="13.8" x14ac:dyDescent="0.3">
      <c r="H22" s="240"/>
      <c r="L22" s="241" t="s">
        <v>180</v>
      </c>
      <c r="M22" s="235">
        <f>SUM(M20:M21)/1000</f>
        <v>0</v>
      </c>
      <c r="N22" s="235">
        <f>SUM(N20:N21)/1000</f>
        <v>0</v>
      </c>
      <c r="O22" s="235">
        <f>SUM(O20:O21)/1000</f>
        <v>0</v>
      </c>
      <c r="P22" s="242">
        <f>(M22+N22+O22)/3</f>
        <v>0</v>
      </c>
      <c r="Q22" s="243" t="s">
        <v>5</v>
      </c>
      <c r="R22" s="243" t="s">
        <v>181</v>
      </c>
      <c r="S22" s="243" t="s">
        <v>5</v>
      </c>
      <c r="T22" s="244" t="s">
        <v>5</v>
      </c>
    </row>
    <row r="23" spans="1:20" ht="15.75" customHeight="1" x14ac:dyDescent="0.3">
      <c r="L23" s="245" t="s">
        <v>182</v>
      </c>
      <c r="M23" s="217"/>
      <c r="N23" s="217"/>
      <c r="O23" s="218"/>
      <c r="P23" s="218"/>
      <c r="Q23" s="217"/>
      <c r="R23" s="217"/>
      <c r="S23" s="217"/>
      <c r="T23" s="219"/>
    </row>
    <row r="24" spans="1:20" ht="15.75" customHeight="1" x14ac:dyDescent="0.45">
      <c r="C24" s="264" t="s">
        <v>193</v>
      </c>
      <c r="D24" s="264"/>
      <c r="E24" s="264"/>
      <c r="L24" s="246" t="s">
        <v>183</v>
      </c>
      <c r="M24" s="247"/>
      <c r="N24" s="248"/>
      <c r="O24" s="249"/>
      <c r="P24" s="250"/>
      <c r="Q24" s="248"/>
      <c r="R24" s="251" t="s">
        <v>5</v>
      </c>
      <c r="S24" s="248"/>
      <c r="T24" s="252"/>
    </row>
    <row r="25" spans="1:20" ht="15.75" customHeight="1" x14ac:dyDescent="0.3">
      <c r="L25" s="312" t="s">
        <v>184</v>
      </c>
      <c r="M25" s="313"/>
      <c r="N25" s="314"/>
      <c r="O25" s="315"/>
      <c r="P25" s="250"/>
      <c r="Q25" s="250"/>
      <c r="R25" s="253">
        <f>P22</f>
        <v>0</v>
      </c>
      <c r="S25" s="250"/>
      <c r="T25" s="254"/>
    </row>
    <row r="26" spans="1:20" ht="13.8" x14ac:dyDescent="0.3">
      <c r="A26" s="178"/>
      <c r="L26" s="255" t="s">
        <v>185</v>
      </c>
      <c r="M26" s="250"/>
      <c r="N26" s="250"/>
      <c r="O26" s="249"/>
      <c r="P26" s="250"/>
      <c r="R26" s="256" t="e">
        <f>R25*1000/R24</f>
        <v>#VALUE!</v>
      </c>
      <c r="T26" s="257"/>
    </row>
    <row r="27" spans="1:20" ht="15.75" customHeight="1" thickBot="1" x14ac:dyDescent="0.35">
      <c r="L27" s="258" t="s">
        <v>186</v>
      </c>
      <c r="M27" s="259"/>
      <c r="N27" s="259"/>
      <c r="O27" s="260"/>
      <c r="P27" s="261"/>
      <c r="Q27" s="261"/>
      <c r="R27" s="262" t="s">
        <v>5</v>
      </c>
      <c r="S27" s="261"/>
      <c r="T27" s="263"/>
    </row>
    <row r="29" spans="1:20" ht="15.75" customHeight="1" x14ac:dyDescent="0.3">
      <c r="L29" s="129" t="s">
        <v>187</v>
      </c>
    </row>
    <row r="30" spans="1:20" ht="15.75" customHeight="1" x14ac:dyDescent="0.3">
      <c r="L30" s="129" t="s">
        <v>188</v>
      </c>
    </row>
    <row r="31" spans="1:20" ht="15.75" customHeight="1" x14ac:dyDescent="0.3">
      <c r="L31" s="129" t="s">
        <v>189</v>
      </c>
    </row>
    <row r="32" spans="1:20" ht="13.8" x14ac:dyDescent="0.3">
      <c r="H32" s="178"/>
      <c r="L32" s="129" t="s">
        <v>190</v>
      </c>
    </row>
  </sheetData>
  <mergeCells count="6">
    <mergeCell ref="A1:F1"/>
    <mergeCell ref="C3:D3"/>
    <mergeCell ref="R3:T3"/>
    <mergeCell ref="H4:I4"/>
    <mergeCell ref="L25:M25"/>
    <mergeCell ref="N25:O2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E5829-8209-4C7C-BA14-1BD660DAA7F9}">
  <dimension ref="C2:P41"/>
  <sheetViews>
    <sheetView topLeftCell="A16" workbookViewId="0">
      <selection activeCell="O11" sqref="O11"/>
    </sheetView>
  </sheetViews>
  <sheetFormatPr defaultRowHeight="13.8" x14ac:dyDescent="0.3"/>
  <cols>
    <col min="1" max="5" width="8.88671875" style="128"/>
    <col min="6" max="6" width="12.33203125" style="157" customWidth="1"/>
    <col min="7" max="7" width="17" style="158" customWidth="1"/>
    <col min="8" max="8" width="17.109375" style="128" customWidth="1"/>
    <col min="9" max="9" width="17" style="128" customWidth="1"/>
    <col min="10" max="10" width="18" style="128" customWidth="1"/>
    <col min="11" max="11" width="15.109375" style="128" customWidth="1"/>
    <col min="12" max="12" width="16.88671875" style="128" customWidth="1"/>
    <col min="13" max="13" width="8.88671875" style="128"/>
    <col min="14" max="14" width="16.6640625" style="128" customWidth="1"/>
    <col min="15" max="16384" width="8.88671875" style="128"/>
  </cols>
  <sheetData>
    <row r="2" spans="3:16" ht="18" x14ac:dyDescent="0.3">
      <c r="C2" s="265"/>
      <c r="F2" s="266" t="s">
        <v>191</v>
      </c>
    </row>
    <row r="4" spans="3:16" ht="14.4" thickBot="1" x14ac:dyDescent="0.35"/>
    <row r="5" spans="3:16" ht="14.4" x14ac:dyDescent="0.3">
      <c r="F5" s="316" t="s">
        <v>79</v>
      </c>
      <c r="G5" s="317"/>
      <c r="H5" s="317"/>
      <c r="I5" s="317"/>
      <c r="J5" s="317"/>
      <c r="K5" s="317"/>
      <c r="L5" s="318"/>
    </row>
    <row r="6" spans="3:16" ht="14.4" x14ac:dyDescent="0.3">
      <c r="F6" s="159" t="s">
        <v>80</v>
      </c>
      <c r="G6" s="160" t="s">
        <v>6</v>
      </c>
      <c r="H6" s="160" t="s">
        <v>81</v>
      </c>
      <c r="I6" s="160" t="s">
        <v>147</v>
      </c>
      <c r="J6" s="160" t="s">
        <v>8</v>
      </c>
      <c r="K6" s="160" t="s">
        <v>82</v>
      </c>
      <c r="L6" s="161" t="s">
        <v>83</v>
      </c>
    </row>
    <row r="7" spans="3:16" ht="14.4" x14ac:dyDescent="0.3">
      <c r="F7" s="162" t="s">
        <v>148</v>
      </c>
      <c r="G7" s="163">
        <v>35040</v>
      </c>
      <c r="H7" s="273">
        <v>2035.46</v>
      </c>
      <c r="I7" s="164">
        <f>H7/G7</f>
        <v>5.8089611872146119E-2</v>
      </c>
      <c r="J7" s="163">
        <v>126</v>
      </c>
      <c r="K7" s="164">
        <v>881.31</v>
      </c>
      <c r="L7" s="165">
        <v>506.37</v>
      </c>
    </row>
    <row r="8" spans="3:16" ht="14.4" x14ac:dyDescent="0.3">
      <c r="F8" s="162" t="s">
        <v>149</v>
      </c>
      <c r="G8" s="163">
        <v>32640</v>
      </c>
      <c r="H8" s="273">
        <v>1886.42</v>
      </c>
      <c r="I8" s="164">
        <v>5.8089611872146119E-2</v>
      </c>
      <c r="J8" s="163">
        <v>124</v>
      </c>
      <c r="K8" s="164">
        <v>866.59</v>
      </c>
      <c r="L8" s="165">
        <v>476.3</v>
      </c>
    </row>
    <row r="9" spans="3:16" ht="14.4" x14ac:dyDescent="0.3">
      <c r="F9" s="162" t="s">
        <v>150</v>
      </c>
      <c r="G9" s="163">
        <v>32640</v>
      </c>
      <c r="H9" s="273">
        <v>1886.42</v>
      </c>
      <c r="I9" s="164">
        <v>5.8089611872146119E-2</v>
      </c>
      <c r="J9" s="163">
        <v>119</v>
      </c>
      <c r="K9" s="164">
        <v>833.64</v>
      </c>
      <c r="L9" s="165">
        <v>474.96</v>
      </c>
    </row>
    <row r="10" spans="3:16" ht="14.4" x14ac:dyDescent="0.3">
      <c r="F10" s="162" t="s">
        <v>151</v>
      </c>
      <c r="G10" s="163">
        <v>26640</v>
      </c>
      <c r="H10" s="273">
        <v>1552.63</v>
      </c>
      <c r="I10" s="164">
        <v>5.8089611872146119E-2</v>
      </c>
      <c r="J10" s="163">
        <v>111</v>
      </c>
      <c r="K10" s="164">
        <v>787.96</v>
      </c>
      <c r="L10" s="165">
        <v>393.1</v>
      </c>
    </row>
    <row r="11" spans="3:16" ht="14.4" x14ac:dyDescent="0.3">
      <c r="F11" s="162" t="s">
        <v>84</v>
      </c>
      <c r="G11" s="163">
        <v>21120</v>
      </c>
      <c r="H11" s="273">
        <v>1239.81</v>
      </c>
      <c r="I11" s="164">
        <v>5.8089611872146119E-2</v>
      </c>
      <c r="J11" s="163">
        <v>62</v>
      </c>
      <c r="K11" s="164">
        <v>508.17</v>
      </c>
      <c r="L11" s="165">
        <v>306.77999999999997</v>
      </c>
      <c r="N11" s="129" t="s">
        <v>13</v>
      </c>
      <c r="O11" s="166">
        <f>K19/J19</f>
        <v>7.2786335403726712</v>
      </c>
      <c r="P11" s="129" t="s">
        <v>14</v>
      </c>
    </row>
    <row r="12" spans="3:16" ht="14.4" x14ac:dyDescent="0.3">
      <c r="F12" s="162" t="s">
        <v>152</v>
      </c>
      <c r="G12" s="163">
        <v>22320</v>
      </c>
      <c r="H12" s="273">
        <v>1308.3900000000001</v>
      </c>
      <c r="I12" s="164">
        <v>5.8089611872146119E-2</v>
      </c>
      <c r="J12" s="163">
        <v>66</v>
      </c>
      <c r="K12" s="164">
        <v>531.01</v>
      </c>
      <c r="L12" s="165">
        <v>539.29999999999995</v>
      </c>
    </row>
    <row r="13" spans="3:16" ht="14.4" x14ac:dyDescent="0.3">
      <c r="F13" s="162" t="s">
        <v>153</v>
      </c>
      <c r="G13" s="163">
        <v>25680</v>
      </c>
      <c r="H13" s="273">
        <v>1500.41</v>
      </c>
      <c r="I13" s="164">
        <v>5.8089611872146119E-2</v>
      </c>
      <c r="J13" s="163">
        <v>84</v>
      </c>
      <c r="K13" s="164">
        <v>633.79</v>
      </c>
      <c r="L13" s="165">
        <v>373.42</v>
      </c>
    </row>
    <row r="14" spans="3:16" ht="14.4" x14ac:dyDescent="0.3">
      <c r="F14" s="162" t="s">
        <v>154</v>
      </c>
      <c r="G14" s="163">
        <v>5993</v>
      </c>
      <c r="H14" s="273">
        <v>352.33</v>
      </c>
      <c r="I14" s="164">
        <v>5.8089611872146119E-2</v>
      </c>
      <c r="J14" s="163">
        <v>36</v>
      </c>
      <c r="K14" s="164">
        <v>268.41000000000003</v>
      </c>
      <c r="L14" s="165">
        <v>92.7</v>
      </c>
    </row>
    <row r="15" spans="3:16" ht="14.4" x14ac:dyDescent="0.3">
      <c r="F15" s="162" t="s">
        <v>155</v>
      </c>
      <c r="G15" s="163">
        <v>24240</v>
      </c>
      <c r="H15" s="273">
        <v>1418.49</v>
      </c>
      <c r="I15" s="164">
        <v>5.8089611872146119E-2</v>
      </c>
      <c r="J15" s="163">
        <v>74</v>
      </c>
      <c r="K15" s="164">
        <v>576.69000000000005</v>
      </c>
      <c r="L15" s="165">
        <v>351.61</v>
      </c>
    </row>
    <row r="16" spans="3:16" ht="14.4" x14ac:dyDescent="0.3">
      <c r="F16" s="162" t="s">
        <v>156</v>
      </c>
      <c r="G16" s="163">
        <v>22080</v>
      </c>
      <c r="H16" s="273">
        <v>1297.32</v>
      </c>
      <c r="I16" s="164">
        <v>5.8089611872146119E-2</v>
      </c>
      <c r="J16" s="163">
        <v>72</v>
      </c>
      <c r="K16" s="164">
        <v>565.27</v>
      </c>
      <c r="L16" s="165">
        <v>322.33</v>
      </c>
    </row>
    <row r="17" spans="6:12" ht="14.4" x14ac:dyDescent="0.3">
      <c r="F17" s="162" t="s">
        <v>157</v>
      </c>
      <c r="G17" s="163">
        <v>30720</v>
      </c>
      <c r="H17" s="273">
        <v>1795.25</v>
      </c>
      <c r="I17" s="164">
        <v>5.8089611872146119E-2</v>
      </c>
      <c r="J17" s="163">
        <v>128</v>
      </c>
      <c r="K17" s="164">
        <v>885.58</v>
      </c>
      <c r="L17" s="165">
        <v>452.49</v>
      </c>
    </row>
    <row r="18" spans="6:12" ht="14.4" x14ac:dyDescent="0.3">
      <c r="F18" s="162" t="s">
        <v>158</v>
      </c>
      <c r="G18" s="163">
        <v>41040</v>
      </c>
      <c r="H18" s="273">
        <v>2388.54</v>
      </c>
      <c r="I18" s="164">
        <v>5.8089611872146119E-2</v>
      </c>
      <c r="J18" s="163">
        <v>125</v>
      </c>
      <c r="K18" s="164">
        <v>864.6</v>
      </c>
      <c r="L18" s="165">
        <v>589.65</v>
      </c>
    </row>
    <row r="19" spans="6:12" ht="14.4" thickBot="1" x14ac:dyDescent="0.35">
      <c r="F19" s="167" t="s">
        <v>85</v>
      </c>
      <c r="G19" s="168">
        <f>SUM(G7:G18)</f>
        <v>320153</v>
      </c>
      <c r="H19" s="275">
        <f>SUM(H7:H18)</f>
        <v>18661.469999999998</v>
      </c>
      <c r="I19" s="274">
        <f>H19/G19</f>
        <v>5.828922421467235E-2</v>
      </c>
      <c r="J19" s="168">
        <f>SUM(J7:J18)</f>
        <v>1127</v>
      </c>
      <c r="K19" s="169">
        <f>SUM(K7:K18)</f>
        <v>8203.02</v>
      </c>
      <c r="L19" s="170">
        <f>SUM(L7:L18)</f>
        <v>4879.01</v>
      </c>
    </row>
    <row r="20" spans="6:12" x14ac:dyDescent="0.3">
      <c r="G20" s="157"/>
    </row>
    <row r="22" spans="6:12" ht="14.4" thickBot="1" x14ac:dyDescent="0.35"/>
    <row r="23" spans="6:12" ht="14.4" x14ac:dyDescent="0.3">
      <c r="F23" s="316" t="s">
        <v>159</v>
      </c>
      <c r="G23" s="317"/>
      <c r="H23" s="317"/>
      <c r="I23" s="317"/>
      <c r="J23" s="317"/>
      <c r="K23" s="318"/>
    </row>
    <row r="24" spans="6:12" ht="14.4" x14ac:dyDescent="0.3">
      <c r="F24" s="159" t="s">
        <v>80</v>
      </c>
      <c r="G24" s="159" t="s">
        <v>27</v>
      </c>
      <c r="H24" s="159" t="s">
        <v>160</v>
      </c>
      <c r="I24" s="159" t="s">
        <v>161</v>
      </c>
      <c r="J24" s="159" t="s">
        <v>51</v>
      </c>
      <c r="K24" s="171" t="s">
        <v>162</v>
      </c>
    </row>
    <row r="25" spans="6:12" ht="14.4" x14ac:dyDescent="0.3">
      <c r="F25" s="162" t="s">
        <v>148</v>
      </c>
      <c r="G25" s="163">
        <v>549</v>
      </c>
      <c r="H25" s="172">
        <v>432.1</v>
      </c>
      <c r="I25" s="173">
        <f>H25/G25</f>
        <v>0.78706739526411662</v>
      </c>
      <c r="J25" s="172">
        <v>48.99</v>
      </c>
      <c r="K25" s="174">
        <v>481.09</v>
      </c>
    </row>
    <row r="26" spans="6:12" ht="14.4" x14ac:dyDescent="0.3">
      <c r="F26" s="162" t="s">
        <v>149</v>
      </c>
      <c r="G26" s="163">
        <v>863.9</v>
      </c>
      <c r="H26" s="172">
        <v>487.36</v>
      </c>
      <c r="I26" s="173">
        <v>0.78706739526411662</v>
      </c>
      <c r="J26" s="172">
        <v>58.01</v>
      </c>
      <c r="K26" s="174">
        <v>545.37</v>
      </c>
    </row>
    <row r="27" spans="6:12" ht="14.4" x14ac:dyDescent="0.3">
      <c r="F27" s="162" t="s">
        <v>150</v>
      </c>
      <c r="G27" s="163">
        <v>656.3</v>
      </c>
      <c r="H27" s="172">
        <v>514.01</v>
      </c>
      <c r="I27" s="173">
        <v>0.78706739526411662</v>
      </c>
      <c r="J27" s="172">
        <v>18.559999999999995</v>
      </c>
      <c r="K27" s="174">
        <v>532.57000000000005</v>
      </c>
    </row>
    <row r="28" spans="6:12" ht="14.4" x14ac:dyDescent="0.3">
      <c r="F28" s="162" t="s">
        <v>151</v>
      </c>
      <c r="G28" s="163">
        <v>494.3</v>
      </c>
      <c r="H28" s="172">
        <v>390.11</v>
      </c>
      <c r="I28" s="173">
        <v>0.78706739526411662</v>
      </c>
      <c r="J28" s="172">
        <v>41.53</v>
      </c>
      <c r="K28" s="174">
        <v>964.21</v>
      </c>
    </row>
    <row r="29" spans="6:12" ht="14.4" x14ac:dyDescent="0.3">
      <c r="F29" s="162" t="s">
        <v>84</v>
      </c>
      <c r="G29" s="163">
        <v>397.8</v>
      </c>
      <c r="H29" s="172">
        <v>300.51</v>
      </c>
      <c r="I29" s="173">
        <v>0.78706739526411662</v>
      </c>
      <c r="J29" s="172">
        <v>35.659999999999997</v>
      </c>
      <c r="K29" s="174">
        <v>336.17</v>
      </c>
    </row>
    <row r="30" spans="6:12" ht="14.4" x14ac:dyDescent="0.3">
      <c r="F30" s="162" t="s">
        <v>152</v>
      </c>
      <c r="G30" s="163">
        <v>150.4</v>
      </c>
      <c r="H30" s="172">
        <v>148.82</v>
      </c>
      <c r="I30" s="173">
        <v>0.78706739526411662</v>
      </c>
      <c r="J30" s="172">
        <v>25.73</v>
      </c>
      <c r="K30" s="174">
        <v>174.55</v>
      </c>
    </row>
    <row r="31" spans="6:12" ht="14.4" x14ac:dyDescent="0.3">
      <c r="F31" s="162" t="s">
        <v>153</v>
      </c>
      <c r="G31" s="163">
        <v>109.8</v>
      </c>
      <c r="H31" s="172">
        <v>88.08</v>
      </c>
      <c r="I31" s="173">
        <v>0.78706739526411662</v>
      </c>
      <c r="J31" s="172">
        <v>25.240000000000002</v>
      </c>
      <c r="K31" s="174">
        <v>113.32</v>
      </c>
    </row>
    <row r="32" spans="6:12" ht="14.4" x14ac:dyDescent="0.3">
      <c r="F32" s="162" t="s">
        <v>154</v>
      </c>
      <c r="G32" s="163">
        <v>5.6</v>
      </c>
      <c r="H32" s="172">
        <v>4.49</v>
      </c>
      <c r="I32" s="173">
        <v>0.78706739526411662</v>
      </c>
      <c r="J32" s="172">
        <v>16.28</v>
      </c>
      <c r="K32" s="174">
        <v>20.77</v>
      </c>
    </row>
    <row r="33" spans="6:11" ht="14.4" x14ac:dyDescent="0.3">
      <c r="F33" s="162" t="s">
        <v>155</v>
      </c>
      <c r="G33" s="163">
        <v>1.1000000000000001</v>
      </c>
      <c r="H33" s="172">
        <v>0.88</v>
      </c>
      <c r="I33" s="173">
        <v>0.78706739526411662</v>
      </c>
      <c r="J33" s="172">
        <v>16.04</v>
      </c>
      <c r="K33" s="174">
        <v>16.920000000000002</v>
      </c>
    </row>
    <row r="34" spans="6:11" ht="14.4" x14ac:dyDescent="0.3">
      <c r="F34" s="162" t="s">
        <v>156</v>
      </c>
      <c r="G34" s="163">
        <v>0</v>
      </c>
      <c r="H34" s="172">
        <v>0</v>
      </c>
      <c r="I34" s="173">
        <v>0.78706739526411662</v>
      </c>
      <c r="J34" s="172">
        <v>15.99</v>
      </c>
      <c r="K34" s="174">
        <v>15.99</v>
      </c>
    </row>
    <row r="35" spans="6:11" ht="14.4" x14ac:dyDescent="0.3">
      <c r="F35" s="162" t="s">
        <v>157</v>
      </c>
      <c r="G35" s="163">
        <v>1.1000000000000001</v>
      </c>
      <c r="H35" s="172">
        <v>0.88</v>
      </c>
      <c r="I35" s="173">
        <v>0.78706739526411662</v>
      </c>
      <c r="J35" s="172">
        <v>16.04</v>
      </c>
      <c r="K35" s="174">
        <v>16.920000000000002</v>
      </c>
    </row>
    <row r="36" spans="6:11" ht="14.4" x14ac:dyDescent="0.3">
      <c r="F36" s="162" t="s">
        <v>158</v>
      </c>
      <c r="G36" s="163">
        <v>326.7</v>
      </c>
      <c r="H36" s="172">
        <v>282.40999999999997</v>
      </c>
      <c r="I36" s="173">
        <v>0.78706739526411662</v>
      </c>
      <c r="J36" s="172">
        <v>34.479999999999997</v>
      </c>
      <c r="K36" s="174">
        <v>316.89</v>
      </c>
    </row>
    <row r="37" spans="6:11" ht="14.4" thickBot="1" x14ac:dyDescent="0.35">
      <c r="F37" s="167" t="s">
        <v>85</v>
      </c>
      <c r="G37" s="175">
        <f>SUM(G25:G36)</f>
        <v>3556</v>
      </c>
      <c r="H37" s="169">
        <f>SUM(H25:H36)</f>
        <v>2649.65</v>
      </c>
      <c r="I37" s="169"/>
      <c r="J37" s="169">
        <f>SUM(J25:J36)</f>
        <v>352.55000000000007</v>
      </c>
      <c r="K37" s="170">
        <f>SUM(K25:K36)</f>
        <v>3534.7700000000004</v>
      </c>
    </row>
    <row r="38" spans="6:11" x14ac:dyDescent="0.3">
      <c r="F38" s="128"/>
    </row>
    <row r="39" spans="6:11" x14ac:dyDescent="0.3">
      <c r="F39" s="128"/>
      <c r="G39" s="276" t="s">
        <v>195</v>
      </c>
      <c r="H39" s="128">
        <f>G37/10</f>
        <v>355.6</v>
      </c>
    </row>
    <row r="40" spans="6:11" x14ac:dyDescent="0.3">
      <c r="G40" s="276" t="s">
        <v>196</v>
      </c>
      <c r="H40" s="277">
        <f>K37/H39</f>
        <v>9.9402980877390323</v>
      </c>
      <c r="I40" s="129" t="s">
        <v>197</v>
      </c>
    </row>
    <row r="41" spans="6:11" x14ac:dyDescent="0.3">
      <c r="G41" s="276" t="s">
        <v>5</v>
      </c>
    </row>
  </sheetData>
  <mergeCells count="2">
    <mergeCell ref="F5:L5"/>
    <mergeCell ref="F23:K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CAC2C-E6CF-4533-916E-0C1CA0B17357}">
  <dimension ref="E1:M38"/>
  <sheetViews>
    <sheetView showGridLines="0" tabSelected="1" topLeftCell="A4" workbookViewId="0">
      <selection activeCell="I31" sqref="I31"/>
    </sheetView>
  </sheetViews>
  <sheetFormatPr defaultColWidth="9.109375" defaultRowHeight="14.4" x14ac:dyDescent="0.3"/>
  <cols>
    <col min="1" max="3" width="9.109375" style="8"/>
    <col min="4" max="4" width="3.44140625" style="8" customWidth="1"/>
    <col min="5" max="5" width="15" style="8" customWidth="1"/>
    <col min="6" max="6" width="36.6640625" style="8" customWidth="1"/>
    <col min="7" max="8" width="14.44140625" style="8" customWidth="1"/>
    <col min="9" max="9" width="11.6640625" style="8" customWidth="1"/>
    <col min="10" max="10" width="15" style="8" customWidth="1"/>
    <col min="11" max="11" width="12.5546875" style="8" bestFit="1" customWidth="1"/>
    <col min="12" max="12" width="21" style="8" customWidth="1"/>
    <col min="13" max="16384" width="9.109375" style="8"/>
  </cols>
  <sheetData>
    <row r="1" spans="5:12" ht="18" x14ac:dyDescent="0.35">
      <c r="E1" s="135"/>
      <c r="F1" s="135"/>
    </row>
    <row r="2" spans="5:12" ht="18" x14ac:dyDescent="0.35">
      <c r="E2" s="135" t="s">
        <v>109</v>
      </c>
      <c r="F2" s="135"/>
    </row>
    <row r="3" spans="5:12" x14ac:dyDescent="0.3">
      <c r="E3" s="134"/>
    </row>
    <row r="4" spans="5:12" ht="18" x14ac:dyDescent="0.35">
      <c r="E4" s="7" t="s">
        <v>17</v>
      </c>
    </row>
    <row r="5" spans="5:12" ht="15" thickBot="1" x14ac:dyDescent="0.35"/>
    <row r="6" spans="5:12" ht="15.6" x14ac:dyDescent="0.3">
      <c r="E6" s="322" t="s">
        <v>18</v>
      </c>
      <c r="F6" s="325" t="s">
        <v>19</v>
      </c>
      <c r="G6" s="319" t="s">
        <v>20</v>
      </c>
      <c r="H6" s="320"/>
      <c r="I6" s="320"/>
      <c r="J6" s="321"/>
      <c r="K6" s="319" t="s">
        <v>21</v>
      </c>
      <c r="L6" s="321"/>
    </row>
    <row r="7" spans="5:12" ht="31.2" x14ac:dyDescent="0.3">
      <c r="E7" s="323"/>
      <c r="F7" s="326"/>
      <c r="G7" s="328" t="s">
        <v>22</v>
      </c>
      <c r="H7" s="329"/>
      <c r="I7" s="9" t="s">
        <v>23</v>
      </c>
      <c r="J7" s="10" t="s">
        <v>24</v>
      </c>
      <c r="K7" s="11" t="s">
        <v>25</v>
      </c>
      <c r="L7" s="12" t="s">
        <v>26</v>
      </c>
    </row>
    <row r="8" spans="5:12" ht="15.6" x14ac:dyDescent="0.3">
      <c r="E8" s="324"/>
      <c r="F8" s="327"/>
      <c r="G8" s="13" t="s">
        <v>6</v>
      </c>
      <c r="H8" s="14" t="s">
        <v>8</v>
      </c>
      <c r="I8" s="15" t="s">
        <v>27</v>
      </c>
      <c r="J8" s="16" t="s">
        <v>5</v>
      </c>
      <c r="K8" s="17"/>
      <c r="L8" s="18" t="s">
        <v>28</v>
      </c>
    </row>
    <row r="9" spans="5:12" ht="15.6" x14ac:dyDescent="0.3">
      <c r="E9" s="19" t="s">
        <v>29</v>
      </c>
      <c r="F9" s="20" t="s">
        <v>133</v>
      </c>
      <c r="G9" s="21">
        <f>'EEM #1 Lighting Upgrade  '!O47</f>
        <v>94957.72</v>
      </c>
      <c r="H9" s="22">
        <f>'EEM #1 Lighting Upgrade  '!O49</f>
        <v>28.093999999999998</v>
      </c>
      <c r="I9" s="23" t="s">
        <v>30</v>
      </c>
      <c r="J9" s="24">
        <f>'EEM #1 Lighting Upgrade  '!O55</f>
        <v>5739.4977626773061</v>
      </c>
      <c r="K9" s="25">
        <f>'EEM #1 Lighting Upgrade  '!O56</f>
        <v>21350</v>
      </c>
      <c r="L9" s="26">
        <f>K9/J9</f>
        <v>3.7198376727027167</v>
      </c>
    </row>
    <row r="10" spans="5:12" ht="15.6" x14ac:dyDescent="0.3">
      <c r="E10" s="19" t="s">
        <v>31</v>
      </c>
      <c r="F10" s="20" t="s">
        <v>34</v>
      </c>
      <c r="G10" s="21">
        <f>'EEM #2  Occupancy Sensors'!L28</f>
        <v>32364.799999999996</v>
      </c>
      <c r="H10" s="22" t="s">
        <v>30</v>
      </c>
      <c r="I10" s="23" t="s">
        <v>30</v>
      </c>
      <c r="J10" s="24">
        <f>'EEM #2  Occupancy Sensors'!L29</f>
        <v>1886.5190838630274</v>
      </c>
      <c r="K10" s="25">
        <f>'EEM #2  Occupancy Sensors'!L35</f>
        <v>2000</v>
      </c>
      <c r="L10" s="26">
        <f>K10/J10</f>
        <v>1.0601536009403083</v>
      </c>
    </row>
    <row r="11" spans="5:12" ht="15.6" x14ac:dyDescent="0.3">
      <c r="E11" s="27" t="s">
        <v>32</v>
      </c>
      <c r="F11" s="28" t="s">
        <v>220</v>
      </c>
      <c r="G11" s="29">
        <f>'EEM #3 Upgrade Controls'!K18</f>
        <v>324010</v>
      </c>
      <c r="H11" s="30" t="s">
        <v>30</v>
      </c>
      <c r="I11" s="31" t="s">
        <v>30</v>
      </c>
      <c r="J11" s="32">
        <f>'EEM #3 Upgrade Controls'!K19</f>
        <v>1949.1916577386435</v>
      </c>
      <c r="K11" s="33">
        <f>'EEM #3 Upgrade Controls'!K25</f>
        <v>15000</v>
      </c>
      <c r="L11" s="34">
        <f>K11/J11</f>
        <v>7.6954977415623995</v>
      </c>
    </row>
    <row r="12" spans="5:12" ht="16.2" thickBot="1" x14ac:dyDescent="0.35">
      <c r="E12" s="27"/>
      <c r="F12" s="28"/>
      <c r="G12" s="29"/>
      <c r="H12" s="30"/>
      <c r="I12" s="31"/>
      <c r="J12" s="32"/>
      <c r="K12" s="33"/>
      <c r="L12" s="34"/>
    </row>
    <row r="13" spans="5:12" ht="15.6" x14ac:dyDescent="0.3">
      <c r="E13" s="330" t="s">
        <v>228</v>
      </c>
      <c r="F13" s="331"/>
      <c r="G13" s="303"/>
      <c r="H13" s="35"/>
      <c r="I13" s="36"/>
      <c r="J13" s="37"/>
      <c r="K13" s="38"/>
      <c r="L13" s="37"/>
    </row>
    <row r="14" spans="5:12" ht="16.2" thickBot="1" x14ac:dyDescent="0.35">
      <c r="E14" s="332"/>
      <c r="F14" s="333"/>
      <c r="G14" s="304">
        <f>SUM(G9:G13)</f>
        <v>451332.52</v>
      </c>
      <c r="H14" s="39"/>
      <c r="I14" s="40">
        <f>SUM(I11:I13)</f>
        <v>0</v>
      </c>
      <c r="J14" s="41">
        <f>SUM(J9:J12)</f>
        <v>9575.2085042789768</v>
      </c>
      <c r="K14" s="42">
        <f>SUM(K9:K12)</f>
        <v>38350</v>
      </c>
      <c r="L14" s="43">
        <f>K14/J14</f>
        <v>4.0051347166865474</v>
      </c>
    </row>
    <row r="15" spans="5:12" ht="49.8" customHeight="1" thickBot="1" x14ac:dyDescent="0.35">
      <c r="F15" s="116"/>
    </row>
    <row r="16" spans="5:12" ht="51.6" customHeight="1" x14ac:dyDescent="0.3">
      <c r="E16" s="322" t="s">
        <v>230</v>
      </c>
      <c r="F16" s="325" t="s">
        <v>1</v>
      </c>
      <c r="G16" s="319" t="s">
        <v>20</v>
      </c>
      <c r="H16" s="320"/>
      <c r="I16" s="320"/>
      <c r="J16" s="321"/>
      <c r="K16" s="319" t="s">
        <v>21</v>
      </c>
      <c r="L16" s="321"/>
    </row>
    <row r="17" spans="5:13" ht="40.200000000000003" customHeight="1" x14ac:dyDescent="0.3">
      <c r="E17" s="323"/>
      <c r="F17" s="326"/>
      <c r="G17" s="328" t="s">
        <v>22</v>
      </c>
      <c r="H17" s="329"/>
      <c r="I17" s="9" t="s">
        <v>23</v>
      </c>
      <c r="J17" s="10" t="s">
        <v>24</v>
      </c>
      <c r="K17" s="11" t="s">
        <v>25</v>
      </c>
      <c r="L17" s="12" t="s">
        <v>26</v>
      </c>
    </row>
    <row r="18" spans="5:13" ht="15.6" x14ac:dyDescent="0.3">
      <c r="E18" s="324"/>
      <c r="F18" s="327"/>
      <c r="G18" s="13" t="s">
        <v>6</v>
      </c>
      <c r="H18" s="14" t="s">
        <v>8</v>
      </c>
      <c r="I18" s="15" t="s">
        <v>27</v>
      </c>
      <c r="J18" s="16" t="s">
        <v>5</v>
      </c>
      <c r="K18" s="17"/>
      <c r="L18" s="18" t="s">
        <v>28</v>
      </c>
    </row>
    <row r="19" spans="5:13" ht="27.75" customHeight="1" thickBot="1" x14ac:dyDescent="0.35">
      <c r="E19" s="295" t="s">
        <v>146</v>
      </c>
      <c r="F19" s="296" t="s">
        <v>226</v>
      </c>
      <c r="G19" s="297">
        <v>7310</v>
      </c>
      <c r="H19" s="298" t="s">
        <v>30</v>
      </c>
      <c r="I19" s="299" t="s">
        <v>30</v>
      </c>
      <c r="J19" s="300">
        <v>426.09422900925489</v>
      </c>
      <c r="K19" s="301">
        <f>'EEM #4 Econimzer on UpperUnits'!$K$25</f>
        <v>10000</v>
      </c>
      <c r="L19" s="302">
        <f>K19/J19</f>
        <v>23.468987184482138</v>
      </c>
    </row>
    <row r="23" spans="5:13" x14ac:dyDescent="0.3">
      <c r="E23" s="79" t="s">
        <v>50</v>
      </c>
    </row>
    <row r="24" spans="5:13" x14ac:dyDescent="0.3">
      <c r="E24" s="115">
        <f>'2021Energy Cost Analysis'!G19</f>
        <v>320153</v>
      </c>
      <c r="F24" s="8" t="s">
        <v>33</v>
      </c>
      <c r="G24" s="80">
        <f>'2021Energy Cost Analysis'!H19</f>
        <v>18661.469999999998</v>
      </c>
      <c r="H24" s="79" t="s">
        <v>52</v>
      </c>
      <c r="J24" s="81">
        <f>G24/E24</f>
        <v>5.828922421467235E-2</v>
      </c>
      <c r="K24" s="79" t="s">
        <v>53</v>
      </c>
    </row>
    <row r="25" spans="5:13" x14ac:dyDescent="0.3">
      <c r="E25" s="115">
        <f>'2021Energy Cost Analysis'!J19</f>
        <v>1127</v>
      </c>
      <c r="F25" s="287" t="s">
        <v>223</v>
      </c>
      <c r="G25" s="80">
        <f>'2021Energy Cost Analysis'!K19</f>
        <v>8203.02</v>
      </c>
      <c r="H25" s="287" t="s">
        <v>225</v>
      </c>
      <c r="J25" s="81">
        <f>G25/E25</f>
        <v>7.2786335403726712</v>
      </c>
      <c r="K25" s="287" t="s">
        <v>225</v>
      </c>
    </row>
    <row r="26" spans="5:13" x14ac:dyDescent="0.3">
      <c r="E26" s="289" t="s">
        <v>5</v>
      </c>
      <c r="F26" s="287" t="s">
        <v>224</v>
      </c>
      <c r="G26" s="80">
        <f>'2021Energy Cost Analysis'!L19</f>
        <v>4879.01</v>
      </c>
      <c r="H26" s="287"/>
      <c r="J26" s="81"/>
      <c r="K26" s="79"/>
    </row>
    <row r="27" spans="5:13" x14ac:dyDescent="0.3">
      <c r="E27" s="8">
        <f>'2021Energy Cost Analysis'!G37</f>
        <v>3556</v>
      </c>
      <c r="F27" s="287" t="s">
        <v>221</v>
      </c>
      <c r="G27" s="290" t="s">
        <v>5</v>
      </c>
      <c r="H27" s="287" t="s">
        <v>5</v>
      </c>
      <c r="J27" s="81"/>
      <c r="K27" s="79"/>
    </row>
    <row r="28" spans="5:13" x14ac:dyDescent="0.3">
      <c r="E28" s="288">
        <f>E27/10</f>
        <v>355.6</v>
      </c>
      <c r="F28" s="287" t="s">
        <v>222</v>
      </c>
      <c r="G28" s="81">
        <f>'2021Energy Cost Analysis'!K37</f>
        <v>3534.7700000000004</v>
      </c>
      <c r="H28" s="287"/>
      <c r="J28" s="81">
        <f>G28/E28</f>
        <v>9.9402980877390323</v>
      </c>
      <c r="K28" s="79" t="s">
        <v>78</v>
      </c>
    </row>
    <row r="29" spans="5:13" x14ac:dyDescent="0.3">
      <c r="G29" s="289"/>
      <c r="H29" s="287"/>
      <c r="L29" s="81"/>
      <c r="M29" s="287"/>
    </row>
    <row r="30" spans="5:13" x14ac:dyDescent="0.3">
      <c r="G30" s="80"/>
      <c r="H30" s="287"/>
      <c r="J30" s="80"/>
      <c r="K30" s="287"/>
    </row>
    <row r="31" spans="5:13" x14ac:dyDescent="0.3">
      <c r="E31" s="44"/>
    </row>
    <row r="32" spans="5:13" x14ac:dyDescent="0.3">
      <c r="E32" s="44"/>
    </row>
    <row r="34" spans="5:11" x14ac:dyDescent="0.3">
      <c r="E34" s="80"/>
      <c r="F34" s="79"/>
      <c r="H34" s="81"/>
      <c r="I34" s="79"/>
    </row>
    <row r="35" spans="5:11" x14ac:dyDescent="0.3">
      <c r="E35" s="82"/>
      <c r="F35" s="287"/>
      <c r="H35" s="81"/>
      <c r="I35" s="79"/>
    </row>
    <row r="37" spans="5:11" x14ac:dyDescent="0.3">
      <c r="E37" s="289"/>
      <c r="F37" s="287"/>
      <c r="H37" s="80"/>
      <c r="I37" s="287"/>
    </row>
    <row r="38" spans="5:11" x14ac:dyDescent="0.3">
      <c r="E38" s="80"/>
      <c r="F38" s="287"/>
      <c r="J38" s="81"/>
      <c r="K38" s="287"/>
    </row>
  </sheetData>
  <mergeCells count="11">
    <mergeCell ref="E13:F14"/>
    <mergeCell ref="E6:E8"/>
    <mergeCell ref="F6:F8"/>
    <mergeCell ref="G6:J6"/>
    <mergeCell ref="K6:L6"/>
    <mergeCell ref="G7:H7"/>
    <mergeCell ref="G16:J16"/>
    <mergeCell ref="K16:L16"/>
    <mergeCell ref="E16:E18"/>
    <mergeCell ref="F16:F18"/>
    <mergeCell ref="G17:H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4A34C-0E3B-417C-AD1C-1142B067DA77}">
  <dimension ref="B2:O992"/>
  <sheetViews>
    <sheetView showGridLines="0" topLeftCell="A40" zoomScale="90" zoomScaleNormal="90" workbookViewId="0">
      <selection activeCell="I44" sqref="I44:O57"/>
    </sheetView>
  </sheetViews>
  <sheetFormatPr defaultColWidth="14.44140625" defaultRowHeight="15" customHeight="1" x14ac:dyDescent="0.3"/>
  <cols>
    <col min="1" max="1" width="8.6640625" style="45" customWidth="1"/>
    <col min="2" max="2" width="10.44140625" style="45" customWidth="1"/>
    <col min="3" max="3" width="29.5546875" style="45" customWidth="1"/>
    <col min="4" max="4" width="14.21875" style="45" customWidth="1"/>
    <col min="5" max="5" width="13.109375" style="45" customWidth="1"/>
    <col min="6" max="6" width="13.33203125" style="45" customWidth="1"/>
    <col min="7" max="7" width="9.6640625" style="45" customWidth="1"/>
    <col min="8" max="8" width="13" style="45" customWidth="1"/>
    <col min="9" max="9" width="13.33203125" style="45" customWidth="1"/>
    <col min="10" max="10" width="10.44140625" style="45" customWidth="1"/>
    <col min="11" max="11" width="15.109375" style="45" customWidth="1"/>
    <col min="12" max="12" width="13.109375" style="45" customWidth="1"/>
    <col min="13" max="13" width="4.44140625" style="45" customWidth="1"/>
    <col min="14" max="14" width="8.6640625" style="45" customWidth="1"/>
    <col min="15" max="15" width="14.33203125" style="45" customWidth="1"/>
    <col min="16" max="23" width="8.6640625" style="45" customWidth="1"/>
    <col min="24" max="16384" width="14.44140625" style="45"/>
  </cols>
  <sheetData>
    <row r="2" spans="2:13" ht="15" customHeight="1" thickBot="1" x14ac:dyDescent="0.35"/>
    <row r="3" spans="2:13" ht="15" customHeight="1" thickBot="1" x14ac:dyDescent="0.4">
      <c r="B3" s="92" t="s">
        <v>10</v>
      </c>
      <c r="C3" s="91"/>
    </row>
    <row r="4" spans="2:13" ht="25.8" customHeight="1" x14ac:dyDescent="0.3"/>
    <row r="5" spans="2:13" ht="28.2" customHeight="1" x14ac:dyDescent="0.35">
      <c r="B5" s="136"/>
      <c r="C5" s="141" t="s">
        <v>110</v>
      </c>
      <c r="D5" s="147">
        <f>'EEM Summary'!J24</f>
        <v>5.828922421467235E-2</v>
      </c>
      <c r="E5" s="140" t="s">
        <v>15</v>
      </c>
      <c r="F5" s="139"/>
      <c r="G5" s="136"/>
      <c r="H5" s="136"/>
      <c r="I5" s="139"/>
      <c r="J5" s="139"/>
      <c r="K5" s="139"/>
      <c r="L5" s="120"/>
      <c r="M5" s="121"/>
    </row>
    <row r="6" spans="2:13" ht="22.8" customHeight="1" x14ac:dyDescent="0.3">
      <c r="B6" s="137"/>
      <c r="C6" s="141" t="s">
        <v>13</v>
      </c>
      <c r="D6" s="268">
        <f>'EEM Summary'!J25</f>
        <v>7.2786335403726712</v>
      </c>
      <c r="E6" s="291" t="s">
        <v>14</v>
      </c>
      <c r="F6" s="137"/>
      <c r="G6" s="137"/>
      <c r="H6" s="138"/>
      <c r="I6" s="137"/>
      <c r="J6" s="138"/>
      <c r="K6" s="137"/>
      <c r="L6" s="121"/>
      <c r="M6" s="121"/>
    </row>
    <row r="7" spans="2:13" ht="15" customHeight="1" x14ac:dyDescent="0.3">
      <c r="L7" s="121"/>
      <c r="M7" s="121"/>
    </row>
    <row r="8" spans="2:13" ht="18" x14ac:dyDescent="0.35">
      <c r="B8" s="1"/>
      <c r="C8" s="148" t="s">
        <v>111</v>
      </c>
      <c r="D8" s="1"/>
      <c r="E8" s="1"/>
      <c r="F8" s="1"/>
      <c r="G8" s="1"/>
      <c r="H8" s="127"/>
      <c r="I8" s="1"/>
      <c r="J8" s="1"/>
      <c r="K8" s="1"/>
      <c r="L8" s="122"/>
      <c r="M8" s="122"/>
    </row>
    <row r="9" spans="2:13" ht="28.8" x14ac:dyDescent="0.3">
      <c r="B9" s="1"/>
      <c r="C9" s="2" t="s">
        <v>0</v>
      </c>
      <c r="D9" s="152" t="s">
        <v>112</v>
      </c>
      <c r="E9" s="153" t="s">
        <v>113</v>
      </c>
      <c r="F9" s="153" t="s">
        <v>114</v>
      </c>
      <c r="G9" s="153" t="s">
        <v>115</v>
      </c>
      <c r="H9" s="278" t="s">
        <v>199</v>
      </c>
      <c r="I9" s="1"/>
      <c r="K9" s="1"/>
      <c r="L9" s="122"/>
      <c r="M9" s="122"/>
    </row>
    <row r="10" spans="2:13" ht="14.4" x14ac:dyDescent="0.3">
      <c r="B10" s="1"/>
      <c r="C10" s="2" t="s">
        <v>198</v>
      </c>
      <c r="D10" s="153">
        <v>2</v>
      </c>
      <c r="E10" s="153">
        <v>32</v>
      </c>
      <c r="F10" s="153">
        <f>D10*E10</f>
        <v>64</v>
      </c>
      <c r="G10" s="153">
        <v>389</v>
      </c>
      <c r="H10" s="152">
        <f>G10*F10</f>
        <v>24896</v>
      </c>
      <c r="I10" s="154"/>
      <c r="J10" s="1"/>
      <c r="K10" s="1"/>
      <c r="L10" s="122"/>
      <c r="M10" s="122"/>
    </row>
    <row r="11" spans="2:13" ht="14.4" x14ac:dyDescent="0.3">
      <c r="B11" s="1"/>
      <c r="C11" s="2" t="s">
        <v>200</v>
      </c>
      <c r="D11" s="154">
        <v>2</v>
      </c>
      <c r="E11" s="155">
        <v>59</v>
      </c>
      <c r="F11" s="153">
        <f>D11*E11</f>
        <v>118</v>
      </c>
      <c r="G11" s="154">
        <v>14</v>
      </c>
      <c r="H11" s="152">
        <f>G11*F11</f>
        <v>1652</v>
      </c>
      <c r="I11" s="154"/>
      <c r="K11" s="1"/>
      <c r="L11" s="122"/>
      <c r="M11" s="122"/>
    </row>
    <row r="12" spans="2:13" ht="14.4" x14ac:dyDescent="0.3">
      <c r="B12" s="1"/>
      <c r="C12" s="2" t="s">
        <v>201</v>
      </c>
      <c r="D12" s="154">
        <v>2</v>
      </c>
      <c r="E12" s="155">
        <v>60</v>
      </c>
      <c r="F12" s="153">
        <f>D12*E12</f>
        <v>120</v>
      </c>
      <c r="G12" s="154">
        <v>1</v>
      </c>
      <c r="H12" s="152">
        <f t="shared" ref="H12:H13" si="0">G12*F12</f>
        <v>120</v>
      </c>
      <c r="I12" s="154"/>
      <c r="K12" s="1"/>
      <c r="L12" s="122"/>
      <c r="M12" s="122"/>
    </row>
    <row r="13" spans="2:13" ht="14.4" x14ac:dyDescent="0.3">
      <c r="B13" s="1"/>
      <c r="C13" s="2" t="s">
        <v>202</v>
      </c>
      <c r="D13" s="154">
        <v>2</v>
      </c>
      <c r="E13" s="155">
        <v>75</v>
      </c>
      <c r="F13" s="153">
        <f>D13*E13</f>
        <v>150</v>
      </c>
      <c r="G13" s="154">
        <v>23</v>
      </c>
      <c r="H13" s="152">
        <f t="shared" si="0"/>
        <v>3450</v>
      </c>
      <c r="I13" s="154"/>
      <c r="K13" s="1"/>
      <c r="L13" s="122"/>
      <c r="M13" s="122"/>
    </row>
    <row r="14" spans="2:13" ht="14.4" x14ac:dyDescent="0.3">
      <c r="B14" s="1"/>
      <c r="C14" s="2"/>
      <c r="D14" s="154"/>
      <c r="E14" s="154"/>
      <c r="F14" s="154"/>
      <c r="G14" s="154">
        <f>SUM(G10:G13)</f>
        <v>427</v>
      </c>
      <c r="H14" s="156">
        <f>SUM(H10:H13)</f>
        <v>30118</v>
      </c>
      <c r="I14" s="153" t="s">
        <v>54</v>
      </c>
      <c r="J14" s="1"/>
      <c r="K14" s="1"/>
      <c r="L14" s="122"/>
      <c r="M14" s="122"/>
    </row>
    <row r="15" spans="2:13" ht="14.4" x14ac:dyDescent="0.3">
      <c r="B15" s="1"/>
      <c r="C15" s="2"/>
      <c r="D15" s="1"/>
      <c r="E15" s="1"/>
      <c r="F15" s="1"/>
      <c r="G15" s="142" t="s">
        <v>5</v>
      </c>
      <c r="H15" s="127"/>
      <c r="I15" s="1"/>
      <c r="J15" s="1"/>
      <c r="K15" s="1"/>
      <c r="L15" s="122"/>
      <c r="M15" s="122"/>
    </row>
    <row r="16" spans="2:13" ht="18" x14ac:dyDescent="0.35">
      <c r="B16" s="1"/>
      <c r="C16" s="148" t="s">
        <v>116</v>
      </c>
      <c r="D16" s="1"/>
      <c r="E16" s="1"/>
      <c r="F16" s="1"/>
      <c r="G16" s="1"/>
      <c r="H16" s="127"/>
      <c r="I16" s="1"/>
      <c r="J16" s="1"/>
      <c r="K16" s="1"/>
      <c r="L16" s="122"/>
      <c r="M16" s="122"/>
    </row>
    <row r="17" spans="2:13" ht="14.4" x14ac:dyDescent="0.3">
      <c r="B17" s="1"/>
      <c r="C17" s="2" t="s">
        <v>204</v>
      </c>
      <c r="D17" s="153">
        <v>2</v>
      </c>
      <c r="E17" s="153">
        <v>15</v>
      </c>
      <c r="F17" s="153">
        <f>D17*E17</f>
        <v>30</v>
      </c>
      <c r="G17" s="153">
        <v>389</v>
      </c>
      <c r="H17" s="152">
        <f t="shared" ref="H17:H20" si="1">G17*F17</f>
        <v>11670</v>
      </c>
      <c r="I17" s="1"/>
      <c r="J17" s="1"/>
      <c r="K17" s="1"/>
      <c r="L17" s="122"/>
      <c r="M17" s="122"/>
    </row>
    <row r="18" spans="2:13" ht="14.4" x14ac:dyDescent="0.3">
      <c r="B18" s="1"/>
      <c r="C18" s="2" t="s">
        <v>203</v>
      </c>
      <c r="D18" s="154">
        <v>2</v>
      </c>
      <c r="E18" s="153">
        <v>44</v>
      </c>
      <c r="F18" s="153">
        <f>D18*E18</f>
        <v>88</v>
      </c>
      <c r="G18" s="154">
        <v>14</v>
      </c>
      <c r="H18" s="152">
        <f t="shared" si="1"/>
        <v>1232</v>
      </c>
      <c r="I18" s="1"/>
      <c r="J18" s="1"/>
      <c r="K18" s="1"/>
      <c r="L18" s="122"/>
      <c r="M18" s="122"/>
    </row>
    <row r="19" spans="2:13" ht="14.4" x14ac:dyDescent="0.3">
      <c r="B19" s="1"/>
      <c r="C19" s="2" t="s">
        <v>204</v>
      </c>
      <c r="D19" s="154">
        <v>2</v>
      </c>
      <c r="E19" s="153">
        <v>15</v>
      </c>
      <c r="F19" s="153">
        <f>D19*E19</f>
        <v>30</v>
      </c>
      <c r="G19" s="154">
        <v>1</v>
      </c>
      <c r="H19" s="152">
        <f t="shared" si="1"/>
        <v>30</v>
      </c>
      <c r="I19" s="1"/>
      <c r="J19" s="1"/>
      <c r="K19" s="1"/>
      <c r="L19" s="122"/>
      <c r="M19" s="122"/>
    </row>
    <row r="20" spans="2:13" ht="14.4" x14ac:dyDescent="0.3">
      <c r="B20" s="1"/>
      <c r="C20" s="2" t="s">
        <v>203</v>
      </c>
      <c r="D20" s="154">
        <v>2</v>
      </c>
      <c r="E20" s="153">
        <v>44</v>
      </c>
      <c r="F20" s="153">
        <f>D20*E20</f>
        <v>88</v>
      </c>
      <c r="G20" s="154">
        <v>23</v>
      </c>
      <c r="H20" s="152">
        <f t="shared" si="1"/>
        <v>2024</v>
      </c>
      <c r="I20" s="279" t="s">
        <v>205</v>
      </c>
      <c r="J20" s="1"/>
      <c r="K20" s="1"/>
      <c r="L20" s="122"/>
      <c r="M20" s="122"/>
    </row>
    <row r="21" spans="2:13" ht="14.4" x14ac:dyDescent="0.3">
      <c r="B21" s="1"/>
      <c r="C21" s="2"/>
      <c r="D21" s="1"/>
      <c r="E21" s="1"/>
      <c r="F21" s="1"/>
      <c r="G21" s="1"/>
      <c r="H21" s="278" t="s">
        <v>5</v>
      </c>
      <c r="I21" s="1"/>
      <c r="J21" s="1"/>
      <c r="K21" s="1"/>
      <c r="L21" s="122"/>
      <c r="M21" s="122"/>
    </row>
    <row r="22" spans="2:13" ht="14.4" x14ac:dyDescent="0.3">
      <c r="B22" s="1"/>
      <c r="C22" s="143" t="s">
        <v>117</v>
      </c>
      <c r="D22" s="267">
        <f>13*5*52</f>
        <v>3380</v>
      </c>
      <c r="E22" s="142" t="s">
        <v>118</v>
      </c>
      <c r="F22" s="127"/>
      <c r="G22" s="1"/>
      <c r="H22" s="1"/>
      <c r="I22" s="1"/>
      <c r="J22" s="122"/>
      <c r="K22" s="122"/>
    </row>
    <row r="23" spans="2:13" ht="15.75" customHeight="1" x14ac:dyDescent="0.35">
      <c r="B23" s="1"/>
      <c r="C23" s="2"/>
      <c r="D23" s="1"/>
      <c r="E23" s="1"/>
      <c r="F23" s="127"/>
      <c r="G23" s="348" t="s">
        <v>58</v>
      </c>
      <c r="H23" s="348"/>
      <c r="I23" s="1"/>
      <c r="J23" s="122"/>
      <c r="K23" s="122"/>
    </row>
    <row r="24" spans="2:13" ht="15.75" customHeight="1" x14ac:dyDescent="0.3">
      <c r="B24" s="1"/>
      <c r="C24" s="143" t="s">
        <v>119</v>
      </c>
      <c r="D24" s="280">
        <f>H14*D22/1000</f>
        <v>101798.84</v>
      </c>
      <c r="E24" s="142" t="s">
        <v>121</v>
      </c>
      <c r="F24" s="127"/>
      <c r="G24" s="142" t="s">
        <v>128</v>
      </c>
      <c r="H24" s="1"/>
      <c r="I24" s="1"/>
      <c r="J24" s="122"/>
      <c r="K24" s="122"/>
    </row>
    <row r="25" spans="2:13" ht="15.75" customHeight="1" x14ac:dyDescent="0.3">
      <c r="B25" s="1"/>
      <c r="C25" s="143" t="s">
        <v>120</v>
      </c>
      <c r="D25" s="144">
        <f>D24*'2021Energy Cost Analysis'!I19</f>
        <v>5933.7754095535556</v>
      </c>
      <c r="E25" s="1"/>
      <c r="F25" s="127"/>
      <c r="G25" s="1"/>
      <c r="H25" s="1"/>
      <c r="I25" s="1"/>
      <c r="J25" s="122"/>
      <c r="K25" s="122"/>
    </row>
    <row r="26" spans="2:13" ht="15.75" customHeight="1" x14ac:dyDescent="0.3">
      <c r="G26" s="142" t="s">
        <v>129</v>
      </c>
      <c r="J26" s="121"/>
      <c r="K26" s="121"/>
    </row>
    <row r="27" spans="2:13" ht="15.75" customHeight="1" x14ac:dyDescent="0.3">
      <c r="C27" s="145" t="s">
        <v>122</v>
      </c>
      <c r="D27" s="46">
        <f>H20*D22/1000</f>
        <v>6841.12</v>
      </c>
      <c r="E27" s="142" t="s">
        <v>6</v>
      </c>
      <c r="J27" s="121"/>
      <c r="K27" s="122"/>
    </row>
    <row r="28" spans="2:13" ht="15.75" customHeight="1" x14ac:dyDescent="0.3">
      <c r="C28" s="145" t="s">
        <v>123</v>
      </c>
      <c r="D28" s="146">
        <f>+D27*'2021Energy Cost Analysis'!I19</f>
        <v>398.7635775594793</v>
      </c>
      <c r="J28" s="121"/>
      <c r="K28" s="121"/>
    </row>
    <row r="29" spans="2:13" ht="15.75" customHeight="1" x14ac:dyDescent="0.3">
      <c r="G29" s="142" t="s">
        <v>131</v>
      </c>
      <c r="I29" s="279" t="s">
        <v>206</v>
      </c>
      <c r="J29" s="123"/>
      <c r="K29" s="124"/>
    </row>
    <row r="30" spans="2:13" ht="15.75" customHeight="1" x14ac:dyDescent="0.3">
      <c r="C30" s="145" t="s">
        <v>124</v>
      </c>
      <c r="D30" s="46">
        <f>H14/1000</f>
        <v>30.117999999999999</v>
      </c>
      <c r="G30" s="142" t="s">
        <v>130</v>
      </c>
      <c r="I30" s="279" t="s">
        <v>207</v>
      </c>
      <c r="J30" s="121"/>
      <c r="K30" s="121"/>
    </row>
    <row r="31" spans="2:13" ht="20.399999999999999" customHeight="1" x14ac:dyDescent="0.3">
      <c r="C31" s="145" t="s">
        <v>125</v>
      </c>
      <c r="D31" s="146">
        <f>D30*'EEM Summary'!J25</f>
        <v>219.21788496894411</v>
      </c>
      <c r="J31" s="125"/>
      <c r="K31" s="126"/>
    </row>
    <row r="32" spans="2:13" ht="15.75" customHeight="1" x14ac:dyDescent="0.3">
      <c r="C32" s="145" t="s">
        <v>126</v>
      </c>
      <c r="D32" s="281">
        <f>H20/1000</f>
        <v>2.024</v>
      </c>
      <c r="G32" s="283" t="s">
        <v>227</v>
      </c>
      <c r="H32" s="45">
        <f>G14</f>
        <v>427</v>
      </c>
      <c r="I32" s="267" t="s">
        <v>5</v>
      </c>
    </row>
    <row r="33" spans="2:15" ht="15.75" customHeight="1" x14ac:dyDescent="0.3">
      <c r="C33" s="145" t="s">
        <v>127</v>
      </c>
      <c r="D33" s="46">
        <f>D32*'2021Energy Cost Analysis'!O11</f>
        <v>14.731954285714286</v>
      </c>
      <c r="G33" s="142" t="s">
        <v>132</v>
      </c>
      <c r="H33" s="146">
        <f>H32*50</f>
        <v>21350</v>
      </c>
      <c r="I33" s="146" t="s">
        <v>5</v>
      </c>
    </row>
    <row r="34" spans="2:15" ht="15.75" customHeight="1" x14ac:dyDescent="0.3"/>
    <row r="35" spans="2:15" ht="15.75" customHeight="1" thickBot="1" x14ac:dyDescent="0.35"/>
    <row r="36" spans="2:15" ht="15.75" customHeight="1" x14ac:dyDescent="0.3">
      <c r="C36" s="3" t="s">
        <v>9</v>
      </c>
      <c r="D36" s="48">
        <f>D30-D32</f>
        <v>28.093999999999998</v>
      </c>
      <c r="E36" s="49" t="s">
        <v>8</v>
      </c>
      <c r="F36" s="47"/>
      <c r="G36" s="111"/>
      <c r="H36" s="50"/>
    </row>
    <row r="37" spans="2:15" ht="15.75" customHeight="1" thickBot="1" x14ac:dyDescent="0.35">
      <c r="C37" s="4" t="s">
        <v>7</v>
      </c>
      <c r="D37" s="51">
        <f>D24-D27</f>
        <v>94957.72</v>
      </c>
      <c r="E37" s="52" t="s">
        <v>6</v>
      </c>
      <c r="F37" s="47"/>
      <c r="G37" s="112"/>
      <c r="H37" s="50"/>
    </row>
    <row r="38" spans="2:15" ht="15.75" customHeight="1" thickBot="1" x14ac:dyDescent="0.35">
      <c r="C38" s="47" t="s">
        <v>5</v>
      </c>
    </row>
    <row r="39" spans="2:15" ht="15.75" customHeight="1" x14ac:dyDescent="0.3">
      <c r="B39" s="45" t="s">
        <v>5</v>
      </c>
      <c r="C39" s="3" t="s">
        <v>11</v>
      </c>
      <c r="D39" s="292">
        <f>D36*'EEM Summary'!J25</f>
        <v>204.48593068322981</v>
      </c>
    </row>
    <row r="40" spans="2:15" ht="15.75" customHeight="1" x14ac:dyDescent="0.3">
      <c r="C40" s="5" t="s">
        <v>12</v>
      </c>
      <c r="D40" s="6">
        <f>D37*'EEM Summary'!J24</f>
        <v>5535.0118319940766</v>
      </c>
    </row>
    <row r="41" spans="2:15" ht="15.75" customHeight="1" x14ac:dyDescent="0.3">
      <c r="C41" s="53"/>
      <c r="D41" s="54"/>
    </row>
    <row r="42" spans="2:15" ht="15.75" customHeight="1" thickBot="1" x14ac:dyDescent="0.35">
      <c r="C42" s="4" t="s">
        <v>16</v>
      </c>
      <c r="D42" s="55">
        <f>SUM(D39:D41)</f>
        <v>5739.4977626773061</v>
      </c>
    </row>
    <row r="43" spans="2:15" ht="15.75" customHeight="1" thickBot="1" x14ac:dyDescent="0.35"/>
    <row r="44" spans="2:15" ht="15.75" customHeight="1" thickBot="1" x14ac:dyDescent="0.35">
      <c r="C44" s="56"/>
      <c r="D44" s="46"/>
      <c r="I44" s="334" t="s">
        <v>60</v>
      </c>
      <c r="J44" s="335"/>
      <c r="K44" s="336"/>
      <c r="L44" s="336"/>
      <c r="M44" s="336"/>
      <c r="N44" s="336"/>
      <c r="O44" s="337"/>
    </row>
    <row r="45" spans="2:15" ht="15.75" customHeight="1" x14ac:dyDescent="0.3">
      <c r="I45" s="338" t="s">
        <v>37</v>
      </c>
      <c r="J45" s="339"/>
      <c r="K45" s="62" t="s">
        <v>38</v>
      </c>
      <c r="L45" s="63"/>
      <c r="M45" s="63"/>
      <c r="N45" s="63"/>
      <c r="O45" s="64">
        <f>D24</f>
        <v>101798.84</v>
      </c>
    </row>
    <row r="46" spans="2:15" ht="15.75" customHeight="1" x14ac:dyDescent="0.3">
      <c r="I46" s="340"/>
      <c r="J46" s="341"/>
      <c r="K46" s="65" t="s">
        <v>39</v>
      </c>
      <c r="L46" s="57"/>
      <c r="M46" s="57"/>
      <c r="N46" s="57"/>
      <c r="O46" s="66">
        <f>D27</f>
        <v>6841.12</v>
      </c>
    </row>
    <row r="47" spans="2:15" ht="15.75" customHeight="1" x14ac:dyDescent="0.3">
      <c r="I47" s="340"/>
      <c r="J47" s="341"/>
      <c r="K47" s="65" t="s">
        <v>40</v>
      </c>
      <c r="L47" s="57"/>
      <c r="M47" s="57"/>
      <c r="N47" s="57"/>
      <c r="O47" s="66">
        <f>O45-O46</f>
        <v>94957.72</v>
      </c>
    </row>
    <row r="48" spans="2:15" ht="15.75" customHeight="1" x14ac:dyDescent="0.3">
      <c r="I48" s="340"/>
      <c r="J48" s="341"/>
      <c r="K48" s="117" t="s">
        <v>41</v>
      </c>
      <c r="L48" s="57"/>
      <c r="M48" s="57"/>
      <c r="N48" s="57"/>
      <c r="O48" s="119">
        <f>D40</f>
        <v>5535.0118319940766</v>
      </c>
    </row>
    <row r="49" spans="9:15" ht="15.75" customHeight="1" x14ac:dyDescent="0.3">
      <c r="I49" s="340"/>
      <c r="J49" s="341"/>
      <c r="K49" s="117" t="s">
        <v>86</v>
      </c>
      <c r="L49" s="57"/>
      <c r="M49" s="57"/>
      <c r="N49" s="57"/>
      <c r="O49" s="66">
        <f>D36</f>
        <v>28.093999999999998</v>
      </c>
    </row>
    <row r="50" spans="9:15" ht="15.75" customHeight="1" x14ac:dyDescent="0.3">
      <c r="I50" s="340"/>
      <c r="J50" s="341"/>
      <c r="K50" s="118" t="s">
        <v>87</v>
      </c>
      <c r="L50" s="68"/>
      <c r="M50" s="68"/>
      <c r="N50" s="68"/>
      <c r="O50" s="69">
        <f>D39</f>
        <v>204.48593068322981</v>
      </c>
    </row>
    <row r="51" spans="9:15" ht="15.75" customHeight="1" x14ac:dyDescent="0.3">
      <c r="I51" s="340"/>
      <c r="J51" s="341"/>
      <c r="K51" s="70" t="s">
        <v>42</v>
      </c>
      <c r="L51" s="71"/>
      <c r="M51" s="71"/>
      <c r="N51" s="71"/>
      <c r="O51" s="72" t="s">
        <v>30</v>
      </c>
    </row>
    <row r="52" spans="9:15" ht="15.75" customHeight="1" x14ac:dyDescent="0.3">
      <c r="I52" s="340"/>
      <c r="J52" s="341"/>
      <c r="K52" s="65" t="s">
        <v>43</v>
      </c>
      <c r="L52" s="57"/>
      <c r="M52" s="57"/>
      <c r="N52" s="57"/>
      <c r="O52" s="66" t="s">
        <v>30</v>
      </c>
    </row>
    <row r="53" spans="9:15" ht="15.75" customHeight="1" x14ac:dyDescent="0.3">
      <c r="I53" s="340"/>
      <c r="J53" s="341"/>
      <c r="K53" s="65" t="s">
        <v>44</v>
      </c>
      <c r="L53" s="57"/>
      <c r="M53" s="57"/>
      <c r="N53" s="57"/>
      <c r="O53" s="66" t="s">
        <v>30</v>
      </c>
    </row>
    <row r="54" spans="9:15" ht="15.75" customHeight="1" thickBot="1" x14ac:dyDescent="0.35">
      <c r="I54" s="340"/>
      <c r="J54" s="341"/>
      <c r="K54" s="73" t="s">
        <v>45</v>
      </c>
      <c r="L54" s="74"/>
      <c r="M54" s="74"/>
      <c r="N54" s="74"/>
      <c r="O54" s="93" t="s">
        <v>30</v>
      </c>
    </row>
    <row r="55" spans="9:15" ht="15.75" customHeight="1" thickBot="1" x14ac:dyDescent="0.35">
      <c r="I55" s="342"/>
      <c r="J55" s="343"/>
      <c r="K55" s="57" t="s">
        <v>46</v>
      </c>
      <c r="L55" s="57"/>
      <c r="M55" s="57"/>
      <c r="N55" s="57"/>
      <c r="O55" s="76">
        <f>O48+O50</f>
        <v>5739.4977626773061</v>
      </c>
    </row>
    <row r="56" spans="9:15" ht="15.75" customHeight="1" x14ac:dyDescent="0.3">
      <c r="I56" s="344" t="s">
        <v>47</v>
      </c>
      <c r="J56" s="345"/>
      <c r="K56" s="62" t="s">
        <v>48</v>
      </c>
      <c r="L56" s="63"/>
      <c r="M56" s="63"/>
      <c r="N56" s="63"/>
      <c r="O56" s="77">
        <f>H33</f>
        <v>21350</v>
      </c>
    </row>
    <row r="57" spans="9:15" ht="15.75" customHeight="1" thickBot="1" x14ac:dyDescent="0.35">
      <c r="I57" s="346"/>
      <c r="J57" s="347"/>
      <c r="K57" s="73" t="s">
        <v>49</v>
      </c>
      <c r="L57" s="74"/>
      <c r="M57" s="74"/>
      <c r="N57" s="74"/>
      <c r="O57" s="78">
        <f>O56/O55</f>
        <v>3.7198376727027167</v>
      </c>
    </row>
    <row r="58" spans="9:15" ht="15.75" customHeight="1" x14ac:dyDescent="0.3"/>
    <row r="59" spans="9:15" ht="15.75" customHeight="1" x14ac:dyDescent="0.3"/>
    <row r="60" spans="9:15" ht="15.75" customHeight="1" x14ac:dyDescent="0.3"/>
    <row r="61" spans="9:15" ht="15.75" customHeight="1" x14ac:dyDescent="0.3"/>
    <row r="62" spans="9:15" ht="15.75" customHeight="1" x14ac:dyDescent="0.3"/>
    <row r="63" spans="9:15" ht="15.75" customHeight="1" x14ac:dyDescent="0.3"/>
    <row r="64" spans="9:15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</sheetData>
  <mergeCells count="4">
    <mergeCell ref="I44:O44"/>
    <mergeCell ref="I45:J55"/>
    <mergeCell ref="I56:J57"/>
    <mergeCell ref="G23:H23"/>
  </mergeCells>
  <pageMargins left="0.7" right="0.7" top="0.75" bottom="0.7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AB5F1-543D-4FA2-999C-BB2C2869EBCB}">
  <dimension ref="A1:R40"/>
  <sheetViews>
    <sheetView showGridLines="0" topLeftCell="A16" zoomScale="80" zoomScaleNormal="80" workbookViewId="0">
      <selection activeCell="F25" sqref="F25:L36"/>
    </sheetView>
  </sheetViews>
  <sheetFormatPr defaultRowHeight="14.4" x14ac:dyDescent="0.3"/>
  <cols>
    <col min="1" max="4" width="8.88671875" style="57"/>
    <col min="5" max="5" width="25.109375" style="57" customWidth="1"/>
    <col min="6" max="6" width="16" style="57" customWidth="1"/>
    <col min="7" max="7" width="12.6640625" style="57" customWidth="1"/>
    <col min="8" max="8" width="10.44140625" style="57" customWidth="1"/>
    <col min="9" max="9" width="12.44140625" style="57" customWidth="1"/>
    <col min="10" max="10" width="16" style="57" customWidth="1"/>
    <col min="11" max="11" width="15.109375" style="57" customWidth="1"/>
    <col min="12" max="12" width="10" style="57" customWidth="1"/>
    <col min="13" max="13" width="14" style="57" customWidth="1"/>
    <col min="14" max="14" width="8.88671875" style="57"/>
    <col min="15" max="15" width="5.88671875" style="57" customWidth="1"/>
    <col min="16" max="16" width="12.5546875" style="57" customWidth="1"/>
    <col min="17" max="16384" width="8.88671875" style="57"/>
  </cols>
  <sheetData>
    <row r="1" spans="1:18" ht="15" thickBot="1" x14ac:dyDescent="0.35">
      <c r="A1" s="57" t="s">
        <v>5</v>
      </c>
    </row>
    <row r="2" spans="1:18" ht="18.600000000000001" thickBot="1" x14ac:dyDescent="0.4">
      <c r="D2" s="88" t="s">
        <v>56</v>
      </c>
      <c r="E2" s="89" t="s">
        <v>57</v>
      </c>
      <c r="F2" s="90"/>
    </row>
    <row r="4" spans="1:18" x14ac:dyDescent="0.3">
      <c r="E4" s="141" t="s">
        <v>110</v>
      </c>
      <c r="F4" s="147">
        <f>'2021Energy Cost Analysis'!I19</f>
        <v>5.828922421467235E-2</v>
      </c>
      <c r="G4" s="140" t="s">
        <v>15</v>
      </c>
    </row>
    <row r="6" spans="1:18" x14ac:dyDescent="0.3">
      <c r="E6" s="57" t="s">
        <v>35</v>
      </c>
    </row>
    <row r="7" spans="1:18" x14ac:dyDescent="0.3">
      <c r="E7" s="282" t="s">
        <v>208</v>
      </c>
    </row>
    <row r="8" spans="1:18" hidden="1" x14ac:dyDescent="0.3"/>
    <row r="9" spans="1:18" ht="52.8" customHeight="1" x14ac:dyDescent="0.3">
      <c r="E9" s="83" t="s">
        <v>0</v>
      </c>
      <c r="F9" s="84" t="s">
        <v>1</v>
      </c>
      <c r="G9" s="85" t="s">
        <v>2</v>
      </c>
      <c r="H9" s="84" t="s">
        <v>3</v>
      </c>
      <c r="I9" s="86" t="s">
        <v>4</v>
      </c>
      <c r="M9" s="59"/>
      <c r="N9" s="59"/>
    </row>
    <row r="10" spans="1:18" ht="28.2" customHeight="1" x14ac:dyDescent="0.3">
      <c r="E10" s="282" t="s">
        <v>209</v>
      </c>
      <c r="F10" s="149" t="s">
        <v>198</v>
      </c>
      <c r="G10" s="2">
        <v>64</v>
      </c>
      <c r="H10" s="1">
        <v>389</v>
      </c>
      <c r="I10" s="1">
        <f>G10*H10</f>
        <v>24896</v>
      </c>
      <c r="J10" s="283" t="s">
        <v>5</v>
      </c>
      <c r="K10" s="282" t="s">
        <v>5</v>
      </c>
      <c r="Q10" s="60"/>
      <c r="R10" s="60"/>
    </row>
    <row r="11" spans="1:18" x14ac:dyDescent="0.3">
      <c r="E11" s="1"/>
      <c r="F11" s="2"/>
      <c r="G11" s="1"/>
      <c r="H11" s="1"/>
      <c r="I11" s="1"/>
      <c r="P11" s="60"/>
      <c r="Q11" s="60"/>
    </row>
    <row r="12" spans="1:18" ht="33.6" customHeight="1" x14ac:dyDescent="0.35">
      <c r="E12" s="145" t="s">
        <v>134</v>
      </c>
      <c r="F12" s="2">
        <f>'EEM #1 Lighting Upgrade  '!D22</f>
        <v>3380</v>
      </c>
      <c r="G12" s="142" t="s">
        <v>118</v>
      </c>
      <c r="H12" s="142" t="s">
        <v>5</v>
      </c>
      <c r="I12" s="1"/>
      <c r="K12" s="148" t="s">
        <v>58</v>
      </c>
      <c r="L12" s="1"/>
      <c r="M12" s="1"/>
      <c r="N12" s="122"/>
      <c r="O12" s="122"/>
      <c r="P12" s="60"/>
      <c r="Q12" s="60"/>
    </row>
    <row r="13" spans="1:18" ht="22.8" customHeight="1" x14ac:dyDescent="0.3">
      <c r="E13" s="283" t="s">
        <v>210</v>
      </c>
      <c r="F13" s="2"/>
      <c r="G13" s="1"/>
      <c r="H13" s="1"/>
      <c r="I13" s="1"/>
      <c r="J13" s="142" t="s">
        <v>128</v>
      </c>
      <c r="K13" s="1"/>
      <c r="L13" s="1"/>
      <c r="M13" s="122"/>
      <c r="N13" s="122"/>
      <c r="O13" s="60"/>
      <c r="P13" s="60"/>
    </row>
    <row r="14" spans="1:18" ht="26.4" customHeight="1" x14ac:dyDescent="0.3">
      <c r="E14" s="142" t="s">
        <v>135</v>
      </c>
      <c r="F14" s="2">
        <f>8*5*52</f>
        <v>2080</v>
      </c>
      <c r="G14" s="142" t="s">
        <v>118</v>
      </c>
      <c r="H14" s="1"/>
      <c r="I14" s="1"/>
      <c r="J14" s="1"/>
      <c r="K14" s="1"/>
      <c r="L14" s="1"/>
      <c r="M14" s="122"/>
      <c r="N14" s="122"/>
      <c r="O14" s="60"/>
      <c r="P14" s="60"/>
    </row>
    <row r="15" spans="1:18" x14ac:dyDescent="0.3">
      <c r="E15" s="1"/>
      <c r="F15" s="2"/>
      <c r="G15" s="1"/>
      <c r="H15" s="1"/>
      <c r="I15" s="1"/>
      <c r="J15" s="142" t="s">
        <v>5</v>
      </c>
      <c r="K15" s="45"/>
      <c r="L15" s="45"/>
      <c r="M15" s="121"/>
      <c r="N15" s="121"/>
      <c r="O15" s="60"/>
      <c r="P15" s="60"/>
    </row>
    <row r="16" spans="1:18" x14ac:dyDescent="0.3">
      <c r="E16" s="1"/>
      <c r="F16" s="2"/>
      <c r="G16" s="1"/>
      <c r="H16" s="1"/>
      <c r="I16" s="1"/>
      <c r="J16" s="45"/>
      <c r="K16" s="45"/>
      <c r="L16" s="45"/>
      <c r="M16" s="121"/>
      <c r="N16" s="122"/>
      <c r="O16" s="60"/>
      <c r="P16" s="60"/>
    </row>
    <row r="17" spans="5:18" ht="31.2" customHeight="1" x14ac:dyDescent="0.3">
      <c r="E17" s="143" t="s">
        <v>119</v>
      </c>
      <c r="F17" s="280">
        <f>I10*F12/1000</f>
        <v>84148.479999999996</v>
      </c>
      <c r="G17" s="142" t="s">
        <v>121</v>
      </c>
      <c r="H17" s="1"/>
      <c r="I17" s="1"/>
      <c r="J17" s="45"/>
      <c r="K17" s="45"/>
      <c r="L17" s="45"/>
      <c r="M17" s="121"/>
      <c r="N17" s="121"/>
      <c r="O17" s="60"/>
      <c r="P17" s="60"/>
    </row>
    <row r="18" spans="5:18" ht="31.2" customHeight="1" x14ac:dyDescent="0.3">
      <c r="E18" s="143" t="s">
        <v>120</v>
      </c>
      <c r="F18" s="144">
        <f>F17*F4</f>
        <v>4904.9496180438719</v>
      </c>
      <c r="G18" s="1"/>
      <c r="H18" s="1"/>
      <c r="I18" s="1"/>
      <c r="J18" s="153" t="s">
        <v>136</v>
      </c>
      <c r="K18" s="293">
        <v>50</v>
      </c>
      <c r="L18" s="123"/>
      <c r="M18" s="124"/>
      <c r="N18" s="60"/>
      <c r="O18" s="60"/>
    </row>
    <row r="19" spans="5:18" x14ac:dyDescent="0.3">
      <c r="E19" s="45"/>
      <c r="F19" s="45"/>
      <c r="G19" s="45"/>
      <c r="H19" s="45"/>
      <c r="I19" s="45"/>
      <c r="J19" s="142" t="s">
        <v>5</v>
      </c>
      <c r="K19" s="45"/>
      <c r="L19" s="142" t="s">
        <v>5</v>
      </c>
      <c r="M19" s="121"/>
      <c r="N19" s="121"/>
    </row>
    <row r="20" spans="5:18" ht="15.6" x14ac:dyDescent="0.3">
      <c r="E20" s="145" t="s">
        <v>122</v>
      </c>
      <c r="F20" s="46">
        <f>F14*I10/1000</f>
        <v>51783.68</v>
      </c>
      <c r="G20" s="142" t="s">
        <v>6</v>
      </c>
      <c r="H20" s="45"/>
      <c r="I20" s="45"/>
      <c r="J20" s="45"/>
      <c r="K20" s="45"/>
      <c r="L20" s="45"/>
      <c r="M20" s="125"/>
      <c r="N20" s="126"/>
      <c r="O20" s="61"/>
    </row>
    <row r="21" spans="5:18" ht="24" customHeight="1" x14ac:dyDescent="0.3">
      <c r="E21" s="145" t="s">
        <v>123</v>
      </c>
      <c r="F21" s="146">
        <f>F20*F4</f>
        <v>3018.4305341808445</v>
      </c>
      <c r="G21" s="45"/>
      <c r="H21" s="45"/>
      <c r="I21" s="45"/>
      <c r="J21" s="142" t="s">
        <v>137</v>
      </c>
      <c r="K21" s="45">
        <v>40</v>
      </c>
      <c r="L21" s="267" t="s">
        <v>5</v>
      </c>
      <c r="M21" s="45"/>
      <c r="N21" s="45"/>
      <c r="O21" s="61"/>
    </row>
    <row r="22" spans="5:18" x14ac:dyDescent="0.3">
      <c r="E22" s="45"/>
      <c r="F22" s="45"/>
      <c r="G22" s="45"/>
      <c r="H22" s="45"/>
      <c r="I22" s="45"/>
      <c r="J22" s="142" t="s">
        <v>132</v>
      </c>
      <c r="K22" s="284">
        <f>K21*K18</f>
        <v>2000</v>
      </c>
      <c r="L22" s="146" t="s">
        <v>5</v>
      </c>
      <c r="M22" s="45"/>
      <c r="N22" s="45"/>
      <c r="O22" s="61"/>
    </row>
    <row r="24" spans="5:18" ht="15" thickBot="1" x14ac:dyDescent="0.35"/>
    <row r="25" spans="5:18" ht="15" thickBot="1" x14ac:dyDescent="0.35">
      <c r="F25" s="334" t="s">
        <v>55</v>
      </c>
      <c r="G25" s="335"/>
      <c r="H25" s="336"/>
      <c r="I25" s="336"/>
      <c r="J25" s="336"/>
      <c r="K25" s="336"/>
      <c r="L25" s="337"/>
    </row>
    <row r="26" spans="5:18" ht="15" customHeight="1" x14ac:dyDescent="0.3">
      <c r="F26" s="338" t="s">
        <v>37</v>
      </c>
      <c r="G26" s="339"/>
      <c r="H26" s="62" t="s">
        <v>38</v>
      </c>
      <c r="I26" s="63"/>
      <c r="J26" s="63"/>
      <c r="K26" s="63"/>
      <c r="L26" s="64">
        <f>F17</f>
        <v>84148.479999999996</v>
      </c>
      <c r="R26" s="57" t="s">
        <v>36</v>
      </c>
    </row>
    <row r="27" spans="5:18" x14ac:dyDescent="0.3">
      <c r="F27" s="340"/>
      <c r="G27" s="341"/>
      <c r="H27" s="65" t="s">
        <v>39</v>
      </c>
      <c r="L27" s="66">
        <f>F20</f>
        <v>51783.68</v>
      </c>
      <c r="P27" s="61"/>
    </row>
    <row r="28" spans="5:18" x14ac:dyDescent="0.3">
      <c r="F28" s="340"/>
      <c r="G28" s="341"/>
      <c r="H28" s="65" t="s">
        <v>40</v>
      </c>
      <c r="L28" s="66">
        <f>L26-L27</f>
        <v>32364.799999999996</v>
      </c>
    </row>
    <row r="29" spans="5:18" x14ac:dyDescent="0.3">
      <c r="F29" s="340"/>
      <c r="G29" s="341"/>
      <c r="H29" s="67" t="s">
        <v>41</v>
      </c>
      <c r="I29" s="68"/>
      <c r="J29" s="68"/>
      <c r="K29" s="68"/>
      <c r="L29" s="69">
        <f>L28*F4</f>
        <v>1886.5190838630274</v>
      </c>
      <c r="P29" s="87"/>
    </row>
    <row r="30" spans="5:18" x14ac:dyDescent="0.3">
      <c r="F30" s="340"/>
      <c r="G30" s="341"/>
      <c r="H30" s="70" t="s">
        <v>42</v>
      </c>
      <c r="I30" s="71"/>
      <c r="J30" s="71"/>
      <c r="K30" s="71"/>
      <c r="L30" s="113" t="s">
        <v>5</v>
      </c>
    </row>
    <row r="31" spans="5:18" x14ac:dyDescent="0.3">
      <c r="F31" s="340"/>
      <c r="G31" s="341"/>
      <c r="H31" s="65" t="s">
        <v>43</v>
      </c>
      <c r="L31" s="114" t="s">
        <v>30</v>
      </c>
    </row>
    <row r="32" spans="5:18" x14ac:dyDescent="0.3">
      <c r="F32" s="340"/>
      <c r="G32" s="341"/>
      <c r="H32" s="65" t="s">
        <v>44</v>
      </c>
      <c r="L32" s="114" t="s">
        <v>30</v>
      </c>
    </row>
    <row r="33" spans="6:12" ht="15" thickBot="1" x14ac:dyDescent="0.35">
      <c r="F33" s="340"/>
      <c r="G33" s="341"/>
      <c r="H33" s="73" t="s">
        <v>45</v>
      </c>
      <c r="I33" s="74"/>
      <c r="J33" s="74"/>
      <c r="K33" s="74"/>
      <c r="L33" s="75">
        <f>'[2]Reduced OA Heating Calc'!I75</f>
        <v>0</v>
      </c>
    </row>
    <row r="34" spans="6:12" ht="15" thickBot="1" x14ac:dyDescent="0.35">
      <c r="F34" s="342"/>
      <c r="G34" s="343"/>
      <c r="H34" s="57" t="s">
        <v>46</v>
      </c>
      <c r="L34" s="76">
        <f>L33+L29</f>
        <v>1886.5190838630274</v>
      </c>
    </row>
    <row r="35" spans="6:12" x14ac:dyDescent="0.3">
      <c r="F35" s="344" t="s">
        <v>47</v>
      </c>
      <c r="G35" s="345"/>
      <c r="H35" s="62" t="s">
        <v>48</v>
      </c>
      <c r="I35" s="63"/>
      <c r="J35" s="63"/>
      <c r="K35" s="63"/>
      <c r="L35" s="77">
        <f>K22</f>
        <v>2000</v>
      </c>
    </row>
    <row r="36" spans="6:12" ht="15" thickBot="1" x14ac:dyDescent="0.35">
      <c r="F36" s="346"/>
      <c r="G36" s="347"/>
      <c r="H36" s="73" t="s">
        <v>49</v>
      </c>
      <c r="I36" s="74"/>
      <c r="J36" s="74"/>
      <c r="K36" s="74"/>
      <c r="L36" s="78">
        <f>L35/L34</f>
        <v>1.0601536009403083</v>
      </c>
    </row>
    <row r="40" spans="6:12" x14ac:dyDescent="0.3">
      <c r="I40" s="57">
        <f>6*5*50</f>
        <v>1500</v>
      </c>
    </row>
  </sheetData>
  <mergeCells count="3">
    <mergeCell ref="F25:L25"/>
    <mergeCell ref="F26:G34"/>
    <mergeCell ref="F35:G3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C2310-5617-4962-BCEB-0DE872B74E2E}">
  <dimension ref="D2:P50"/>
  <sheetViews>
    <sheetView showGridLines="0" zoomScaleNormal="100" workbookViewId="0">
      <selection activeCell="E14" sqref="E14"/>
    </sheetView>
  </sheetViews>
  <sheetFormatPr defaultRowHeight="14.4" x14ac:dyDescent="0.3"/>
  <cols>
    <col min="1" max="3" width="8.88671875" style="57"/>
    <col min="4" max="4" width="19.88671875" style="57" customWidth="1"/>
    <col min="5" max="5" width="16.21875" style="57" customWidth="1"/>
    <col min="6" max="7" width="8.88671875" style="57"/>
    <col min="8" max="8" width="12.77734375" style="57" customWidth="1"/>
    <col min="9" max="9" width="16.6640625" style="57" customWidth="1"/>
    <col min="10" max="10" width="13.33203125" style="57" customWidth="1"/>
    <col min="11" max="11" width="15.44140625" style="57" customWidth="1"/>
    <col min="12" max="16384" width="8.88671875" style="57"/>
  </cols>
  <sheetData>
    <row r="2" spans="4:16" ht="18" x14ac:dyDescent="0.35">
      <c r="M2" s="285" t="s">
        <v>214</v>
      </c>
    </row>
    <row r="3" spans="4:16" x14ac:dyDescent="0.3">
      <c r="D3" s="58" t="s">
        <v>138</v>
      </c>
      <c r="M3" s="57" t="s">
        <v>5</v>
      </c>
      <c r="N3" s="57" t="s">
        <v>5</v>
      </c>
      <c r="P3" s="131" t="s">
        <v>5</v>
      </c>
    </row>
    <row r="4" spans="4:16" x14ac:dyDescent="0.3">
      <c r="D4" s="58" t="s">
        <v>58</v>
      </c>
      <c r="G4" s="57" t="s">
        <v>5</v>
      </c>
      <c r="H4" s="269" t="s">
        <v>194</v>
      </c>
    </row>
    <row r="5" spans="4:16" x14ac:dyDescent="0.3">
      <c r="D5" s="58"/>
      <c r="G5" s="57" t="s">
        <v>5</v>
      </c>
      <c r="H5" s="282" t="s">
        <v>216</v>
      </c>
    </row>
    <row r="6" spans="4:16" x14ac:dyDescent="0.3">
      <c r="D6" s="57" t="s">
        <v>59</v>
      </c>
      <c r="E6" s="286">
        <f>'2021Energy Cost Analysis'!I19</f>
        <v>5.828922421467235E-2</v>
      </c>
      <c r="F6" s="94"/>
      <c r="G6" s="131" t="s">
        <v>5</v>
      </c>
      <c r="H6" s="282" t="s">
        <v>217</v>
      </c>
    </row>
    <row r="7" spans="4:16" x14ac:dyDescent="0.3">
      <c r="D7" s="131" t="s">
        <v>140</v>
      </c>
      <c r="E7" s="269">
        <v>324010</v>
      </c>
      <c r="F7" s="131" t="s">
        <v>6</v>
      </c>
      <c r="H7" s="282" t="s">
        <v>218</v>
      </c>
    </row>
    <row r="8" spans="4:16" x14ac:dyDescent="0.3">
      <c r="D8" s="131" t="s">
        <v>141</v>
      </c>
      <c r="E8" s="269">
        <v>290570</v>
      </c>
      <c r="F8" s="131" t="s">
        <v>6</v>
      </c>
    </row>
    <row r="10" spans="4:16" x14ac:dyDescent="0.3">
      <c r="D10" s="131" t="s">
        <v>143</v>
      </c>
      <c r="E10" s="57">
        <f>E7-E8</f>
        <v>33440</v>
      </c>
      <c r="F10" s="131" t="s">
        <v>6</v>
      </c>
      <c r="H10" s="282" t="s">
        <v>219</v>
      </c>
      <c r="I10" s="270">
        <v>15000</v>
      </c>
    </row>
    <row r="11" spans="4:16" x14ac:dyDescent="0.3">
      <c r="D11" s="131" t="s">
        <v>142</v>
      </c>
      <c r="E11" s="151">
        <f>E10*E6</f>
        <v>1949.1916577386435</v>
      </c>
    </row>
    <row r="16" spans="4:16" ht="15" thickBot="1" x14ac:dyDescent="0.35"/>
    <row r="17" spans="5:11" ht="15" thickBot="1" x14ac:dyDescent="0.35">
      <c r="E17" s="334" t="s">
        <v>139</v>
      </c>
      <c r="F17" s="335"/>
      <c r="G17" s="335"/>
      <c r="H17" s="335"/>
      <c r="I17" s="335"/>
      <c r="J17" s="335"/>
      <c r="K17" s="349"/>
    </row>
    <row r="18" spans="5:11" x14ac:dyDescent="0.3">
      <c r="E18" s="340"/>
      <c r="F18" s="341"/>
      <c r="G18" s="65" t="s">
        <v>40</v>
      </c>
      <c r="K18" s="66">
        <v>324010</v>
      </c>
    </row>
    <row r="19" spans="5:11" x14ac:dyDescent="0.3">
      <c r="E19" s="340"/>
      <c r="F19" s="341"/>
      <c r="G19" s="67" t="s">
        <v>41</v>
      </c>
      <c r="H19" s="68"/>
      <c r="I19" s="68"/>
      <c r="J19" s="68"/>
      <c r="K19" s="69">
        <f>E11</f>
        <v>1949.1916577386435</v>
      </c>
    </row>
    <row r="20" spans="5:11" x14ac:dyDescent="0.3">
      <c r="E20" s="340"/>
      <c r="F20" s="341"/>
      <c r="G20" s="70" t="s">
        <v>42</v>
      </c>
      <c r="H20" s="71"/>
      <c r="I20" s="71"/>
      <c r="J20" s="71"/>
      <c r="K20" s="72">
        <v>0</v>
      </c>
    </row>
    <row r="21" spans="5:11" x14ac:dyDescent="0.3">
      <c r="E21" s="340"/>
      <c r="F21" s="341"/>
      <c r="G21" s="65" t="s">
        <v>43</v>
      </c>
      <c r="K21" s="66">
        <v>0</v>
      </c>
    </row>
    <row r="22" spans="5:11" x14ac:dyDescent="0.3">
      <c r="E22" s="340"/>
      <c r="F22" s="341"/>
      <c r="G22" s="65" t="s">
        <v>44</v>
      </c>
      <c r="K22" s="66">
        <f>K20-K21</f>
        <v>0</v>
      </c>
    </row>
    <row r="23" spans="5:11" ht="15" thickBot="1" x14ac:dyDescent="0.35">
      <c r="E23" s="340"/>
      <c r="F23" s="341"/>
      <c r="G23" s="73" t="s">
        <v>45</v>
      </c>
      <c r="H23" s="74"/>
      <c r="I23" s="74"/>
      <c r="J23" s="74"/>
      <c r="K23" s="75">
        <v>0</v>
      </c>
    </row>
    <row r="24" spans="5:11" ht="15" thickBot="1" x14ac:dyDescent="0.35">
      <c r="E24" s="342"/>
      <c r="F24" s="343"/>
      <c r="G24" s="57" t="s">
        <v>46</v>
      </c>
      <c r="K24" s="76">
        <f>K19</f>
        <v>1949.1916577386435</v>
      </c>
    </row>
    <row r="25" spans="5:11" x14ac:dyDescent="0.3">
      <c r="E25" s="344" t="s">
        <v>47</v>
      </c>
      <c r="F25" s="345"/>
      <c r="G25" s="62" t="s">
        <v>48</v>
      </c>
      <c r="H25" s="63"/>
      <c r="I25" s="63"/>
      <c r="J25" s="63"/>
      <c r="K25" s="271">
        <v>15000</v>
      </c>
    </row>
    <row r="26" spans="5:11" ht="15" thickBot="1" x14ac:dyDescent="0.35">
      <c r="E26" s="346"/>
      <c r="F26" s="347"/>
      <c r="G26" s="73" t="s">
        <v>49</v>
      </c>
      <c r="H26" s="74"/>
      <c r="I26" s="74"/>
      <c r="J26" s="74"/>
      <c r="K26" s="78">
        <f>K25/K24</f>
        <v>7.6954977415623995</v>
      </c>
    </row>
    <row r="50" spans="13:15" ht="18" x14ac:dyDescent="0.35">
      <c r="M50" s="285" t="s">
        <v>215</v>
      </c>
      <c r="N50" s="285"/>
      <c r="O50" s="285"/>
    </row>
  </sheetData>
  <mergeCells count="3">
    <mergeCell ref="E17:K17"/>
    <mergeCell ref="E18:F24"/>
    <mergeCell ref="E25:F2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91853-CB1D-444A-977B-45C95585FFC7}">
  <dimension ref="D2:P51"/>
  <sheetViews>
    <sheetView showGridLines="0" topLeftCell="A13" zoomScale="110" zoomScaleNormal="110" workbookViewId="0">
      <selection activeCell="E17" sqref="E17:K26"/>
    </sheetView>
  </sheetViews>
  <sheetFormatPr defaultRowHeight="14.4" x14ac:dyDescent="0.3"/>
  <cols>
    <col min="1" max="3" width="8.88671875" style="57"/>
    <col min="4" max="4" width="25.21875" style="57" customWidth="1"/>
    <col min="5" max="5" width="13.44140625" style="57" customWidth="1"/>
    <col min="6" max="7" width="8.88671875" style="57"/>
    <col min="8" max="8" width="13.77734375" style="57" customWidth="1"/>
    <col min="9" max="9" width="10.6640625" style="57" customWidth="1"/>
    <col min="10" max="10" width="8.5546875" style="57" customWidth="1"/>
    <col min="11" max="11" width="12.6640625" style="57" customWidth="1"/>
    <col min="12" max="16384" width="8.88671875" style="57"/>
  </cols>
  <sheetData>
    <row r="2" spans="4:16" ht="18" x14ac:dyDescent="0.35">
      <c r="M2" s="285" t="s">
        <v>211</v>
      </c>
    </row>
    <row r="3" spans="4:16" x14ac:dyDescent="0.3">
      <c r="D3" s="58" t="s">
        <v>144</v>
      </c>
      <c r="M3" s="57" t="s">
        <v>5</v>
      </c>
      <c r="N3" s="57" t="s">
        <v>5</v>
      </c>
      <c r="P3" s="131" t="s">
        <v>5</v>
      </c>
    </row>
    <row r="4" spans="4:16" x14ac:dyDescent="0.3">
      <c r="D4" s="58" t="s">
        <v>58</v>
      </c>
      <c r="G4" s="57" t="s">
        <v>5</v>
      </c>
      <c r="H4" s="282" t="s">
        <v>213</v>
      </c>
    </row>
    <row r="5" spans="4:16" x14ac:dyDescent="0.3">
      <c r="D5" s="58"/>
      <c r="G5" s="57" t="s">
        <v>5</v>
      </c>
      <c r="H5" s="131" t="s">
        <v>5</v>
      </c>
    </row>
    <row r="6" spans="4:16" x14ac:dyDescent="0.3">
      <c r="D6" s="57" t="s">
        <v>59</v>
      </c>
      <c r="E6" s="286">
        <f>'2021Energy Cost Analysis'!I19</f>
        <v>5.828922421467235E-2</v>
      </c>
      <c r="F6" s="94"/>
      <c r="G6" s="131" t="s">
        <v>5</v>
      </c>
      <c r="H6" s="131" t="s">
        <v>5</v>
      </c>
    </row>
    <row r="7" spans="4:16" x14ac:dyDescent="0.3">
      <c r="D7" s="131" t="s">
        <v>140</v>
      </c>
      <c r="E7" s="269">
        <v>324010</v>
      </c>
      <c r="F7" s="131" t="s">
        <v>6</v>
      </c>
    </row>
    <row r="8" spans="4:16" x14ac:dyDescent="0.3">
      <c r="D8" s="131" t="s">
        <v>141</v>
      </c>
      <c r="E8" s="269">
        <v>316700</v>
      </c>
      <c r="F8" s="131" t="s">
        <v>6</v>
      </c>
    </row>
    <row r="10" spans="4:16" x14ac:dyDescent="0.3">
      <c r="D10" s="131" t="s">
        <v>143</v>
      </c>
      <c r="E10" s="57">
        <f>E7-E8</f>
        <v>7310</v>
      </c>
      <c r="F10" s="131" t="s">
        <v>6</v>
      </c>
      <c r="H10" s="294" t="s">
        <v>5</v>
      </c>
      <c r="I10" s="151">
        <v>5000</v>
      </c>
    </row>
    <row r="11" spans="4:16" x14ac:dyDescent="0.3">
      <c r="D11" s="131" t="s">
        <v>142</v>
      </c>
      <c r="E11" s="150">
        <f>E10*E6</f>
        <v>426.09422900925489</v>
      </c>
      <c r="H11" s="294" t="s">
        <v>229</v>
      </c>
    </row>
    <row r="16" spans="4:16" ht="15" thickBot="1" x14ac:dyDescent="0.35"/>
    <row r="17" spans="5:11" ht="15" thickBot="1" x14ac:dyDescent="0.35">
      <c r="E17" s="334" t="s">
        <v>145</v>
      </c>
      <c r="F17" s="335"/>
      <c r="G17" s="335"/>
      <c r="H17" s="335"/>
      <c r="I17" s="335"/>
      <c r="J17" s="335"/>
      <c r="K17" s="349"/>
    </row>
    <row r="18" spans="5:11" x14ac:dyDescent="0.3">
      <c r="E18" s="340"/>
      <c r="F18" s="341"/>
      <c r="G18" s="65" t="s">
        <v>40</v>
      </c>
      <c r="K18" s="66">
        <f>E10</f>
        <v>7310</v>
      </c>
    </row>
    <row r="19" spans="5:11" x14ac:dyDescent="0.3">
      <c r="E19" s="340"/>
      <c r="F19" s="341"/>
      <c r="G19" s="67" t="s">
        <v>41</v>
      </c>
      <c r="H19" s="68"/>
      <c r="I19" s="68"/>
      <c r="J19" s="68"/>
      <c r="K19" s="69">
        <f>E11</f>
        <v>426.09422900925489</v>
      </c>
    </row>
    <row r="20" spans="5:11" x14ac:dyDescent="0.3">
      <c r="E20" s="340"/>
      <c r="F20" s="341"/>
      <c r="G20" s="70" t="s">
        <v>42</v>
      </c>
      <c r="H20" s="71"/>
      <c r="I20" s="71"/>
      <c r="J20" s="71"/>
      <c r="K20" s="72">
        <v>0</v>
      </c>
    </row>
    <row r="21" spans="5:11" x14ac:dyDescent="0.3">
      <c r="E21" s="340"/>
      <c r="F21" s="341"/>
      <c r="G21" s="65" t="s">
        <v>43</v>
      </c>
      <c r="K21" s="66">
        <v>0</v>
      </c>
    </row>
    <row r="22" spans="5:11" x14ac:dyDescent="0.3">
      <c r="E22" s="340"/>
      <c r="F22" s="341"/>
      <c r="G22" s="65" t="s">
        <v>44</v>
      </c>
      <c r="K22" s="66">
        <f>K20-K21</f>
        <v>0</v>
      </c>
    </row>
    <row r="23" spans="5:11" ht="15" thickBot="1" x14ac:dyDescent="0.35">
      <c r="E23" s="340"/>
      <c r="F23" s="341"/>
      <c r="G23" s="73" t="s">
        <v>45</v>
      </c>
      <c r="H23" s="74"/>
      <c r="I23" s="74"/>
      <c r="J23" s="74"/>
      <c r="K23" s="75">
        <v>0</v>
      </c>
    </row>
    <row r="24" spans="5:11" ht="15" thickBot="1" x14ac:dyDescent="0.35">
      <c r="E24" s="342"/>
      <c r="F24" s="343"/>
      <c r="G24" s="57" t="s">
        <v>46</v>
      </c>
      <c r="K24" s="76">
        <f>K19</f>
        <v>426.09422900925489</v>
      </c>
    </row>
    <row r="25" spans="5:11" x14ac:dyDescent="0.3">
      <c r="E25" s="344" t="s">
        <v>47</v>
      </c>
      <c r="F25" s="345"/>
      <c r="G25" s="62" t="s">
        <v>48</v>
      </c>
      <c r="H25" s="63"/>
      <c r="I25" s="63"/>
      <c r="J25" s="63"/>
      <c r="K25" s="77">
        <v>10000</v>
      </c>
    </row>
    <row r="26" spans="5:11" ht="15" thickBot="1" x14ac:dyDescent="0.35">
      <c r="E26" s="346"/>
      <c r="F26" s="347"/>
      <c r="G26" s="73" t="s">
        <v>49</v>
      </c>
      <c r="H26" s="74"/>
      <c r="I26" s="74"/>
      <c r="J26" s="74"/>
      <c r="K26" s="78">
        <f>K25/K24</f>
        <v>23.468987184482138</v>
      </c>
    </row>
    <row r="51" spans="14:14" ht="18" x14ac:dyDescent="0.35">
      <c r="N51" s="285" t="s">
        <v>212</v>
      </c>
    </row>
  </sheetData>
  <mergeCells count="3">
    <mergeCell ref="E17:K17"/>
    <mergeCell ref="E18:F24"/>
    <mergeCell ref="E25:F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Contacts </vt:lpstr>
      <vt:lpstr>Historic Energy Use</vt:lpstr>
      <vt:lpstr>2021Energy Cost Analysis</vt:lpstr>
      <vt:lpstr>EEM Summary</vt:lpstr>
      <vt:lpstr>EEM #1 Lighting Upgrade  </vt:lpstr>
      <vt:lpstr>EEM #2  Occupancy Sensors</vt:lpstr>
      <vt:lpstr>EEM #3 Upgrade Controls</vt:lpstr>
      <vt:lpstr>EEM #4 Econimzer on UpperUnits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Marinello</dc:creator>
  <cp:lastModifiedBy>Suzanne Lane</cp:lastModifiedBy>
  <dcterms:created xsi:type="dcterms:W3CDTF">2022-08-08T19:34:53Z</dcterms:created>
  <dcterms:modified xsi:type="dcterms:W3CDTF">2022-10-07T23:57:48Z</dcterms:modified>
</cp:coreProperties>
</file>